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b\Downloads\"/>
    </mc:Choice>
  </mc:AlternateContent>
  <xr:revisionPtr revIDLastSave="0" documentId="13_ncr:1_{ED100F10-C9C3-46C8-B9EA-077489E136A2}" xr6:coauthVersionLast="47" xr6:coauthVersionMax="47" xr10:uidLastSave="{00000000-0000-0000-0000-000000000000}"/>
  <workbookProtection workbookAlgorithmName="SHA-512" workbookHashValue="mSg1grU/1hDs0Jj6T+0DzY7lSdzUhJ/O8fe89trWEv8V00LERG9wcDbd7tOsYEmoRmHZ9vqeP9wqWHi5Z9xV7A==" workbookSaltValue="M+2yvydEuViLfUELmHUbSA==" workbookSpinCount="100000" lockStructure="1"/>
  <bookViews>
    <workbookView xWindow="45" yWindow="1215" windowWidth="28755" windowHeight="16785" tabRatio="500" xr2:uid="{00000000-000D-0000-FFFF-FFFF00000000}"/>
  </bookViews>
  <sheets>
    <sheet name="TermoTag" sheetId="1" r:id="rId1"/>
    <sheet name="Data" sheetId="2" state="hidden" r:id="rId2"/>
    <sheet name="Ark1" sheetId="3" state="hidden" r:id="rId3"/>
  </sheets>
  <definedNames>
    <definedName name="_xlnm.Print_Area" localSheetId="0">TermoTag!$A$1:$J$58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2" i="1" l="1"/>
  <c r="V27" i="1"/>
  <c r="G33" i="1" s="1"/>
  <c r="B41" i="1"/>
  <c r="I41" i="1" s="1"/>
  <c r="I40" i="1"/>
  <c r="I39" i="1"/>
  <c r="B38" i="1"/>
  <c r="I38" i="1" s="1"/>
  <c r="K37" i="1"/>
  <c r="B37" i="1"/>
  <c r="I37" i="1" s="1"/>
  <c r="K36" i="1"/>
  <c r="B36" i="1"/>
  <c r="E36" i="1" s="1"/>
  <c r="Y35" i="1"/>
  <c r="K35" i="1"/>
  <c r="B35" i="1"/>
  <c r="E35" i="1" s="1"/>
  <c r="Y34" i="1"/>
  <c r="B34" i="1"/>
  <c r="I34" i="1" s="1"/>
  <c r="Y33" i="1"/>
  <c r="B33" i="1"/>
  <c r="I33" i="1" s="1"/>
  <c r="Y32" i="1"/>
  <c r="S32" i="1"/>
  <c r="K32" i="1"/>
  <c r="B32" i="1"/>
  <c r="I32" i="1" s="1"/>
  <c r="Y31" i="1"/>
  <c r="S31" i="1"/>
  <c r="E26" i="1" s="1"/>
  <c r="K31" i="1"/>
  <c r="B31" i="1"/>
  <c r="Y30" i="1"/>
  <c r="K30" i="1"/>
  <c r="B30" i="1"/>
  <c r="Y29" i="1"/>
  <c r="B29" i="1"/>
  <c r="Y28" i="1"/>
  <c r="B28" i="1"/>
  <c r="Y27" i="1"/>
  <c r="B27" i="1"/>
  <c r="Y26" i="1"/>
  <c r="C26" i="1"/>
  <c r="B26" i="1"/>
  <c r="Y25" i="1"/>
  <c r="D25" i="1"/>
  <c r="C25" i="1"/>
  <c r="B25" i="1"/>
  <c r="Y24" i="1"/>
  <c r="Y23" i="1"/>
  <c r="Y22" i="1"/>
  <c r="Y21" i="1"/>
  <c r="Y20" i="1"/>
  <c r="Y19" i="1"/>
  <c r="Y18" i="1"/>
  <c r="K18" i="1"/>
  <c r="Y17" i="1"/>
  <c r="K17" i="1"/>
  <c r="Y16" i="1"/>
  <c r="P16" i="1"/>
  <c r="K16" i="1"/>
  <c r="E16" i="1"/>
  <c r="Y15" i="1"/>
  <c r="P15" i="1"/>
  <c r="E15" i="1"/>
  <c r="Y14" i="1"/>
  <c r="P14" i="1"/>
  <c r="E14" i="1"/>
  <c r="Y13" i="1"/>
  <c r="K13" i="1"/>
  <c r="Y12" i="1"/>
  <c r="K12" i="1"/>
  <c r="Y11" i="1"/>
  <c r="K11" i="1"/>
  <c r="Y9" i="1"/>
  <c r="Y8" i="1"/>
  <c r="Y7" i="1"/>
  <c r="K7" i="1"/>
  <c r="Y6" i="1"/>
  <c r="Y5" i="1"/>
  <c r="Y4" i="1"/>
  <c r="Y3" i="1"/>
  <c r="H2" i="1"/>
  <c r="C30" i="1" l="1"/>
  <c r="E27" i="1"/>
  <c r="E30" i="1"/>
  <c r="C29" i="1"/>
  <c r="C31" i="1"/>
  <c r="G25" i="1"/>
  <c r="V46" i="1"/>
  <c r="G35" i="1" s="1"/>
  <c r="I26" i="1"/>
  <c r="E38" i="1"/>
  <c r="E17" i="1"/>
  <c r="E34" i="1"/>
  <c r="I30" i="1"/>
  <c r="E37" i="1"/>
  <c r="I25" i="1"/>
  <c r="E25" i="1"/>
  <c r="I29" i="1"/>
  <c r="E28" i="1"/>
  <c r="I35" i="1"/>
  <c r="G27" i="1"/>
  <c r="C27" i="1"/>
  <c r="C28" i="1"/>
  <c r="I31" i="1"/>
  <c r="I27" i="1"/>
  <c r="I28" i="1"/>
  <c r="I36" i="1"/>
  <c r="E31" i="1"/>
  <c r="E32" i="1"/>
  <c r="E33" i="1"/>
  <c r="G28" i="1" l="1"/>
  <c r="G37" i="1"/>
  <c r="V31" i="1"/>
  <c r="G38" i="1" s="1"/>
  <c r="G31" i="1"/>
  <c r="V23" i="1"/>
  <c r="G36" i="1" s="1"/>
  <c r="G30" i="1"/>
  <c r="G26" i="1"/>
  <c r="G32" i="1"/>
  <c r="G29" i="1" l="1"/>
  <c r="G34" i="1"/>
</calcChain>
</file>

<file path=xl/sharedStrings.xml><?xml version="1.0" encoding="utf-8"?>
<sst xmlns="http://schemas.openxmlformats.org/spreadsheetml/2006/main" count="230" uniqueCount="104">
  <si>
    <t>Termo tagplade</t>
  </si>
  <si>
    <t>Forhandler:</t>
  </si>
  <si>
    <t>Indtast navn</t>
  </si>
  <si>
    <t>Dato:</t>
  </si>
  <si>
    <t>TUN-NR</t>
  </si>
  <si>
    <t>Pris</t>
  </si>
  <si>
    <t>Byggesag:</t>
  </si>
  <si>
    <t>Mrk: Overdækket terrasse</t>
  </si>
  <si>
    <t>Klar</t>
  </si>
  <si>
    <t>Opal</t>
  </si>
  <si>
    <t>Plader</t>
  </si>
  <si>
    <t>10 mm, Opal</t>
  </si>
  <si>
    <t>10 mm, 4-lags</t>
  </si>
  <si>
    <t>10 mm, 4-lags klar</t>
  </si>
  <si>
    <t>10 mm, 4-lags opal</t>
  </si>
  <si>
    <t>Plade</t>
  </si>
  <si>
    <t>16 mm, 7-lags</t>
  </si>
  <si>
    <t>16 mm, 7-lags klar</t>
  </si>
  <si>
    <t>16 mm, 7-lags opal</t>
  </si>
  <si>
    <t>Ikke Lager</t>
  </si>
  <si>
    <t>Type</t>
  </si>
  <si>
    <t>Felter åben for indtastning</t>
  </si>
  <si>
    <t>25 mm, 7-lags</t>
  </si>
  <si>
    <t>25 mm, 7-lags klar</t>
  </si>
  <si>
    <t>25 mm, 7-lags opal</t>
  </si>
  <si>
    <t>Inddækning</t>
  </si>
  <si>
    <t>Nej</t>
  </si>
  <si>
    <t>Sikringsskruer</t>
  </si>
  <si>
    <t>Vandnæse hvid</t>
  </si>
  <si>
    <t>DB Varenr.</t>
  </si>
  <si>
    <t>Kun Opal</t>
  </si>
  <si>
    <t>10 mm, Klar</t>
  </si>
  <si>
    <t>10 mm</t>
  </si>
  <si>
    <t>2,1 m</t>
  </si>
  <si>
    <t>Samleliste hvid</t>
  </si>
  <si>
    <t>Termotag</t>
  </si>
  <si>
    <t>A 2</t>
  </si>
  <si>
    <t>A 1</t>
  </si>
  <si>
    <t>Plan-areal</t>
  </si>
  <si>
    <t>16 mm</t>
  </si>
  <si>
    <t>m</t>
  </si>
  <si>
    <t>m²</t>
  </si>
  <si>
    <t>25 mm</t>
  </si>
  <si>
    <t>Ventilationstape</t>
  </si>
  <si>
    <t>Ja</t>
  </si>
  <si>
    <t>klar</t>
  </si>
  <si>
    <t>Hovedbygning</t>
  </si>
  <si>
    <t>38 mm</t>
  </si>
  <si>
    <t>10,0 m</t>
  </si>
  <si>
    <t>opal</t>
  </si>
  <si>
    <t>Afstandsliste</t>
  </si>
  <si>
    <t>3,05 m</t>
  </si>
  <si>
    <t>50 mm</t>
  </si>
  <si>
    <t>Længde</t>
  </si>
  <si>
    <t>16 mm, Opal</t>
  </si>
  <si>
    <t>I alt</t>
  </si>
  <si>
    <t>Netto</t>
  </si>
  <si>
    <t>Tilbehør</t>
  </si>
  <si>
    <t>Enhed</t>
  </si>
  <si>
    <t>Ekspansionsbånd</t>
  </si>
  <si>
    <t>8,0 m</t>
  </si>
  <si>
    <t>Antal plader:</t>
  </si>
  <si>
    <t>Silicone klar</t>
  </si>
  <si>
    <t>300 ml</t>
  </si>
  <si>
    <t>Total bredde af tagflade i mtr.
(plader + samleskinner)</t>
  </si>
  <si>
    <t>3,0 m</t>
  </si>
  <si>
    <t>Selvborende skrue til alu. Bundskinne</t>
  </si>
  <si>
    <t>50 stk./ps.</t>
  </si>
  <si>
    <t>For montering (spærafstand, lægteafstand osv.) se monteringsvejledning</t>
  </si>
  <si>
    <t>3,5 m</t>
  </si>
  <si>
    <t>Sikringsskrue til termotag</t>
  </si>
  <si>
    <t>10 stk./ps.</t>
  </si>
  <si>
    <t>16 mm, Klar</t>
  </si>
  <si>
    <t>4,0 m</t>
  </si>
  <si>
    <t>Inddækningsgummi 250 mm</t>
  </si>
  <si>
    <t>Bestillingsliste</t>
  </si>
  <si>
    <t>4,5 m</t>
  </si>
  <si>
    <t>Montagefuge</t>
  </si>
  <si>
    <t>310 ml</t>
  </si>
  <si>
    <t>Stk</t>
  </si>
  <si>
    <t>5,0 m</t>
  </si>
  <si>
    <t>Fugeskinne</t>
  </si>
  <si>
    <t>1,0 m</t>
  </si>
  <si>
    <t>6,0 m</t>
  </si>
  <si>
    <t>Universalkapsel</t>
  </si>
  <si>
    <t>Emballage</t>
  </si>
  <si>
    <t>91 0002</t>
  </si>
  <si>
    <t>Alu vinkelrygning fleksibel Hvid</t>
  </si>
  <si>
    <t>25 mm, Opal</t>
  </si>
  <si>
    <t>Endekap hvid</t>
  </si>
  <si>
    <t>Rulle</t>
  </si>
  <si>
    <t>Antal</t>
  </si>
  <si>
    <t>Pose</t>
  </si>
  <si>
    <t>Toptape u/ vent.</t>
  </si>
  <si>
    <t>Montage</t>
  </si>
  <si>
    <t>75 x 75 x 3.000 m</t>
  </si>
  <si>
    <t>Pris excl. moms</t>
  </si>
  <si>
    <t>Kommentarer:</t>
  </si>
  <si>
    <t>Sikringsskrue</t>
  </si>
  <si>
    <t>Dækningsgrad</t>
  </si>
  <si>
    <t>Medbringertruck</t>
  </si>
  <si>
    <t>Direkte levering</t>
  </si>
  <si>
    <t>til private adresse/byggeplads</t>
  </si>
  <si>
    <t>Direkte levering til privat adresse/byggeplads med medbringertruck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</si>
</sst>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(* #,##0.00_);_(* \(#,##0.00\);_(* \-??_);_(@_)"/>
    <numFmt numFmtId="166" formatCode="_(* #,##0_);_(* \(#,##0\);_(* \-??_);_(@_)"/>
    <numFmt numFmtId="167" formatCode="_(* #,##0.0_);_(* \(#,##0.0\);_(* \-??_);_(@_)"/>
    <numFmt numFmtId="168" formatCode="_ * #,##0.00_ ;_ * \-#,##0.00_ ;_ * \-??_ ;_ @_ "/>
    <numFmt numFmtId="169" formatCode="0\ %"/>
  </numFmts>
  <fonts count="9" x14ac:knownFonts="1">
    <font>
      <sz val="10"/>
      <name val="Arial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sz val="12"/>
      <color rgb="FF0000FF"/>
      <name val="Calibri"/>
      <family val="2"/>
      <charset val="1"/>
    </font>
    <font>
      <i/>
      <sz val="12"/>
      <name val="Calibri"/>
      <family val="2"/>
      <charset val="1"/>
    </font>
    <font>
      <b/>
      <sz val="12"/>
      <name val="Calibri"/>
      <family val="2"/>
      <charset val="1"/>
    </font>
    <font>
      <sz val="12"/>
      <color rgb="FFFFFF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CD5B5"/>
        <bgColor rgb="FFD7E4BD"/>
      </patternFill>
    </fill>
    <fill>
      <patternFill patternType="solid">
        <fgColor rgb="FFB7DEE8"/>
        <bgColor rgb="FF99CCFF"/>
      </patternFill>
    </fill>
    <fill>
      <patternFill patternType="solid">
        <fgColor rgb="FFFFC000"/>
        <bgColor rgb="FFFF9900"/>
      </patternFill>
    </fill>
    <fill>
      <patternFill patternType="solid">
        <fgColor rgb="FFEBF1DE"/>
        <bgColor rgb="FFD7E4BD"/>
      </patternFill>
    </fill>
    <fill>
      <patternFill patternType="solid">
        <fgColor rgb="FFD7E4BD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80">
    <xf numFmtId="0" fontId="0" fillId="0" borderId="0" xfId="0"/>
    <xf numFmtId="0" fontId="0" fillId="0" borderId="0" xfId="0" applyProtection="1"/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2" fillId="0" borderId="0" xfId="0" applyFont="1" applyProtection="1"/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1" xfId="0" applyFont="1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164" fontId="0" fillId="3" borderId="1" xfId="0" applyNumberFormat="1" applyFill="1" applyBorder="1" applyProtection="1"/>
    <xf numFmtId="49" fontId="0" fillId="3" borderId="1" xfId="0" applyNumberFormat="1" applyFill="1" applyBorder="1" applyProtection="1"/>
    <xf numFmtId="0" fontId="0" fillId="0" borderId="1" xfId="0" applyBorder="1" applyAlignment="1" applyProtection="1">
      <alignment horizontal="right"/>
    </xf>
    <xf numFmtId="165" fontId="0" fillId="0" borderId="1" xfId="1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Protection="1"/>
    <xf numFmtId="0" fontId="0" fillId="0" borderId="1" xfId="0" applyFont="1" applyBorder="1" applyAlignment="1" applyProtection="1">
      <alignment horizontal="left"/>
    </xf>
    <xf numFmtId="0" fontId="2" fillId="4" borderId="1" xfId="0" applyFont="1" applyFill="1" applyBorder="1" applyProtection="1"/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0" fillId="0" borderId="1" xfId="0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/>
    <xf numFmtId="0" fontId="0" fillId="5" borderId="1" xfId="0" applyFill="1" applyBorder="1" applyProtection="1"/>
    <xf numFmtId="0" fontId="0" fillId="0" borderId="1" xfId="0" applyBorder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165" fontId="2" fillId="0" borderId="1" xfId="1" applyFont="1" applyBorder="1" applyAlignment="1" applyProtection="1"/>
    <xf numFmtId="0" fontId="2" fillId="4" borderId="0" xfId="0" applyFont="1" applyFill="1" applyBorder="1" applyProtection="1"/>
    <xf numFmtId="0" fontId="2" fillId="0" borderId="0" xfId="0" applyFont="1" applyBorder="1" applyProtection="1"/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 vertical="center"/>
    </xf>
    <xf numFmtId="2" fontId="1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1" fillId="0" borderId="0" xfId="0" applyNumberFormat="1" applyFont="1" applyBorder="1" applyProtection="1"/>
    <xf numFmtId="0" fontId="1" fillId="0" borderId="10" xfId="0" applyFont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10" xfId="0" applyFont="1" applyBorder="1" applyProtection="1"/>
    <xf numFmtId="2" fontId="3" fillId="0" borderId="10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6" fillId="0" borderId="6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2" fontId="6" fillId="0" borderId="1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horizontal="center" vertical="center"/>
    </xf>
    <xf numFmtId="166" fontId="0" fillId="0" borderId="0" xfId="1" applyNumberFormat="1" applyFont="1" applyBorder="1" applyAlignment="1" applyProtection="1"/>
    <xf numFmtId="165" fontId="0" fillId="0" borderId="12" xfId="1" applyFont="1" applyBorder="1" applyAlignment="1" applyProtection="1"/>
    <xf numFmtId="0" fontId="1" fillId="0" borderId="1" xfId="0" applyFont="1" applyBorder="1" applyAlignment="1" applyProtection="1">
      <alignment horizontal="left" vertical="center" indent="1"/>
    </xf>
    <xf numFmtId="2" fontId="1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right"/>
    </xf>
    <xf numFmtId="167" fontId="0" fillId="0" borderId="0" xfId="1" applyNumberFormat="1" applyFont="1" applyBorder="1" applyAlignment="1" applyProtection="1">
      <alignment horizontal="center" vertical="center"/>
    </xf>
    <xf numFmtId="14" fontId="0" fillId="0" borderId="0" xfId="1" applyNumberFormat="1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right"/>
    </xf>
    <xf numFmtId="49" fontId="0" fillId="0" borderId="1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166" fontId="2" fillId="6" borderId="1" xfId="1" applyNumberFormat="1" applyFont="1" applyFill="1" applyBorder="1" applyAlignment="1" applyProtection="1"/>
    <xf numFmtId="0" fontId="5" fillId="0" borderId="6" xfId="0" applyFont="1" applyBorder="1" applyAlignment="1" applyProtection="1">
      <alignment horizontal="left" vertical="center" indent="1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166" fontId="1" fillId="0" borderId="1" xfId="1" applyNumberFormat="1" applyFont="1" applyBorder="1" applyAlignment="1" applyProtection="1">
      <alignment vertical="center"/>
    </xf>
    <xf numFmtId="165" fontId="0" fillId="0" borderId="0" xfId="1" applyFont="1" applyBorder="1" applyAlignment="1" applyProtection="1"/>
    <xf numFmtId="2" fontId="1" fillId="0" borderId="6" xfId="0" applyNumberFormat="1" applyFont="1" applyBorder="1" applyAlignment="1" applyProtection="1">
      <alignment horizontal="left" vertical="center" indent="1"/>
    </xf>
    <xf numFmtId="2" fontId="1" fillId="0" borderId="13" xfId="0" applyNumberFormat="1" applyFont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indent="1"/>
    </xf>
    <xf numFmtId="168" fontId="2" fillId="0" borderId="0" xfId="0" applyNumberFormat="1" applyFont="1" applyProtection="1"/>
    <xf numFmtId="0" fontId="1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horizontal="left"/>
    </xf>
    <xf numFmtId="1" fontId="2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Protection="1"/>
    <xf numFmtId="0" fontId="1" fillId="0" borderId="11" xfId="0" applyFont="1" applyBorder="1" applyAlignment="1" applyProtection="1">
      <alignment horizontal="left" vertical="center" indent="1"/>
    </xf>
    <xf numFmtId="0" fontId="1" fillId="0" borderId="17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166" fontId="0" fillId="0" borderId="0" xfId="0" applyNumberForma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2" fontId="7" fillId="0" borderId="1" xfId="0" applyNumberFormat="1" applyFont="1" applyBorder="1" applyAlignment="1" applyProtection="1">
      <alignment horizontal="center"/>
    </xf>
    <xf numFmtId="0" fontId="1" fillId="6" borderId="16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165" fontId="0" fillId="0" borderId="1" xfId="1" applyFont="1" applyBorder="1" applyAlignment="1" applyProtection="1">
      <alignment horizontal="center" vertical="center"/>
    </xf>
    <xf numFmtId="166" fontId="0" fillId="0" borderId="0" xfId="0" applyNumberFormat="1" applyAlignment="1" applyProtection="1"/>
    <xf numFmtId="166" fontId="0" fillId="0" borderId="0" xfId="0" applyNumberFormat="1" applyAlignment="1" applyProtection="1"/>
    <xf numFmtId="2" fontId="1" fillId="0" borderId="0" xfId="0" applyNumberFormat="1" applyFont="1" applyAlignment="1" applyProtection="1">
      <alignment horizontal="center" vertical="center"/>
    </xf>
    <xf numFmtId="0" fontId="1" fillId="6" borderId="17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3" xfId="0" applyFont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vertical="center"/>
    </xf>
    <xf numFmtId="165" fontId="2" fillId="0" borderId="0" xfId="1" applyFont="1" applyBorder="1" applyAlignment="1" applyProtection="1">
      <alignment horizontal="right"/>
    </xf>
    <xf numFmtId="165" fontId="0" fillId="0" borderId="12" xfId="1" applyFont="1" applyBorder="1" applyAlignment="1" applyProtection="1">
      <alignment horizontal="right"/>
    </xf>
    <xf numFmtId="0" fontId="0" fillId="0" borderId="1" xfId="0" applyBorder="1" applyProtection="1"/>
    <xf numFmtId="0" fontId="2" fillId="0" borderId="0" xfId="0" applyFont="1" applyBorder="1" applyProtection="1"/>
    <xf numFmtId="0" fontId="1" fillId="0" borderId="17" xfId="0" applyFont="1" applyBorder="1" applyAlignment="1" applyProtection="1">
      <alignment vertical="center"/>
    </xf>
    <xf numFmtId="168" fontId="0" fillId="0" borderId="0" xfId="0" applyNumberFormat="1" applyProtection="1"/>
    <xf numFmtId="2" fontId="1" fillId="0" borderId="13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166" fontId="2" fillId="6" borderId="1" xfId="1" applyNumberFormat="1" applyFont="1" applyFill="1" applyBorder="1" applyAlignment="1" applyProtection="1">
      <alignment vertical="center"/>
    </xf>
    <xf numFmtId="166" fontId="0" fillId="0" borderId="0" xfId="1" applyNumberFormat="1" applyFon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49" fontId="0" fillId="0" borderId="0" xfId="0" applyNumberFormat="1" applyAlignment="1" applyProtection="1">
      <alignment horizontal="left" vertical="center"/>
    </xf>
    <xf numFmtId="169" fontId="0" fillId="0" borderId="0" xfId="0" applyNumberFormat="1"/>
    <xf numFmtId="0" fontId="0" fillId="7" borderId="1" xfId="0" applyFont="1" applyFill="1" applyBorder="1"/>
    <xf numFmtId="169" fontId="0" fillId="7" borderId="1" xfId="0" applyNumberFormat="1" applyFill="1" applyBorder="1"/>
    <xf numFmtId="0" fontId="1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right" vertical="center"/>
    </xf>
    <xf numFmtId="0" fontId="0" fillId="8" borderId="1" xfId="0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65" fontId="8" fillId="0" borderId="0" xfId="1" applyAlignment="1" applyProtection="1">
      <alignment vertical="center"/>
    </xf>
    <xf numFmtId="166" fontId="1" fillId="6" borderId="6" xfId="1" applyNumberFormat="1" applyFont="1" applyFill="1" applyBorder="1" applyAlignment="1" applyProtection="1">
      <alignment vertical="center"/>
    </xf>
    <xf numFmtId="166" fontId="1" fillId="6" borderId="11" xfId="1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</xf>
    <xf numFmtId="2" fontId="3" fillId="9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14" fontId="1" fillId="0" borderId="0" xfId="0" applyNumberFormat="1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733320</xdr:colOff>
      <xdr:row>6</xdr:row>
      <xdr:rowOff>152280</xdr:rowOff>
    </xdr:from>
    <xdr:to>
      <xdr:col>28</xdr:col>
      <xdr:colOff>415140</xdr:colOff>
      <xdr:row>17</xdr:row>
      <xdr:rowOff>113430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88000" y="1528200"/>
          <a:ext cx="4012920" cy="2734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7"/>
  <sheetViews>
    <sheetView showGridLines="0" tabSelected="1" zoomScaleNormal="100" workbookViewId="0">
      <selection activeCell="C2" sqref="C2:F2"/>
    </sheetView>
  </sheetViews>
  <sheetFormatPr defaultRowHeight="15.75" x14ac:dyDescent="0.25"/>
  <cols>
    <col min="1" max="1" width="0.85546875" style="1" customWidth="1"/>
    <col min="2" max="2" width="29.28515625" style="2" customWidth="1"/>
    <col min="3" max="3" width="17.7109375" style="3" customWidth="1"/>
    <col min="4" max="4" width="7.28515625" style="4" customWidth="1"/>
    <col min="5" max="5" width="11.28515625" style="4" customWidth="1"/>
    <col min="6" max="6" width="10.42578125" style="4" customWidth="1"/>
    <col min="7" max="7" width="8.140625" style="4" customWidth="1"/>
    <col min="8" max="8" width="7.42578125" style="2" customWidth="1"/>
    <col min="9" max="9" width="14.140625" style="2" customWidth="1"/>
    <col min="10" max="10" width="10" style="1" customWidth="1"/>
    <col min="11" max="14" width="8.28515625" style="1" hidden="1" customWidth="1"/>
    <col min="15" max="15" width="8.28515625" style="5" hidden="1" customWidth="1"/>
    <col min="16" max="18" width="8.28515625" style="1" hidden="1" customWidth="1"/>
    <col min="19" max="19" width="8.28515625" style="6" hidden="1" customWidth="1"/>
    <col min="20" max="25" width="8.28515625" style="1" hidden="1" customWidth="1"/>
    <col min="26" max="26" width="9.28515625" style="1" hidden="1" customWidth="1"/>
    <col min="27" max="27" width="8.28515625" style="1" hidden="1" customWidth="1"/>
    <col min="28" max="28" width="8.28515625" style="7" hidden="1" customWidth="1"/>
    <col min="29" max="29" width="8.28515625" style="1" customWidth="1"/>
    <col min="30" max="1024" width="9.140625" style="1" customWidth="1"/>
  </cols>
  <sheetData>
    <row r="1" spans="1:1024" ht="9.9499999999999993" customHeight="1" x14ac:dyDescent="0.25">
      <c r="A1" s="8"/>
      <c r="B1" s="9"/>
      <c r="C1" s="10"/>
      <c r="D1" s="11"/>
      <c r="E1" s="11"/>
      <c r="F1" s="11"/>
      <c r="G1" s="11"/>
      <c r="H1" s="12"/>
      <c r="I1" s="13"/>
      <c r="J1" s="5"/>
      <c r="Y1" s="14" t="s">
        <v>0</v>
      </c>
      <c r="Z1" s="14"/>
    </row>
    <row r="2" spans="1:1024" ht="20.100000000000001" customHeight="1" x14ac:dyDescent="0.2">
      <c r="B2" s="15" t="s">
        <v>1</v>
      </c>
      <c r="C2" s="169" t="s">
        <v>2</v>
      </c>
      <c r="D2" s="169"/>
      <c r="E2" s="169"/>
      <c r="F2" s="169"/>
      <c r="G2" s="16" t="s">
        <v>3</v>
      </c>
      <c r="H2" s="170">
        <f ca="1">TODAY()</f>
        <v>44798</v>
      </c>
      <c r="I2" s="170"/>
      <c r="J2" s="5"/>
      <c r="Y2" s="17" t="s">
        <v>4</v>
      </c>
      <c r="Z2" s="17" t="s">
        <v>5</v>
      </c>
    </row>
    <row r="3" spans="1:1024" ht="20.100000000000001" customHeight="1" x14ac:dyDescent="0.25">
      <c r="B3" s="15" t="s">
        <v>6</v>
      </c>
      <c r="C3" s="171" t="s">
        <v>7</v>
      </c>
      <c r="D3" s="171"/>
      <c r="E3" s="171"/>
      <c r="F3" s="171"/>
      <c r="G3" s="11"/>
      <c r="H3" s="12"/>
      <c r="I3" s="13"/>
      <c r="K3" s="14"/>
      <c r="L3" s="14" t="s">
        <v>8</v>
      </c>
      <c r="M3" s="14" t="s">
        <v>9</v>
      </c>
      <c r="P3" s="14" t="s">
        <v>10</v>
      </c>
      <c r="Q3" s="18">
        <v>3</v>
      </c>
      <c r="R3" s="18">
        <v>3.5</v>
      </c>
      <c r="S3" s="19">
        <v>4</v>
      </c>
      <c r="T3" s="18">
        <v>4.5</v>
      </c>
      <c r="U3" s="18">
        <v>5</v>
      </c>
      <c r="V3" s="18">
        <v>6</v>
      </c>
      <c r="W3" s="18">
        <v>7</v>
      </c>
      <c r="Y3" s="20">
        <f>Q4</f>
        <v>5225391</v>
      </c>
      <c r="Z3" s="21"/>
      <c r="AA3" s="8" t="s">
        <v>11</v>
      </c>
      <c r="AB3" s="7">
        <v>3</v>
      </c>
    </row>
    <row r="4" spans="1:1024" ht="18" customHeight="1" x14ac:dyDescent="0.25">
      <c r="B4" s="9"/>
      <c r="C4" s="22"/>
      <c r="D4" s="22"/>
      <c r="E4" s="22"/>
      <c r="F4" s="22"/>
      <c r="G4" s="11"/>
      <c r="H4" s="12"/>
      <c r="I4" s="13"/>
      <c r="K4" s="14" t="s">
        <v>12</v>
      </c>
      <c r="L4" s="23" t="s">
        <v>13</v>
      </c>
      <c r="M4" s="24" t="s">
        <v>14</v>
      </c>
      <c r="P4" s="25" t="s">
        <v>14</v>
      </c>
      <c r="Q4" s="26">
        <v>5225391</v>
      </c>
      <c r="R4" s="26">
        <v>5225392</v>
      </c>
      <c r="S4" s="27">
        <v>5225393</v>
      </c>
      <c r="T4" s="26">
        <v>5225394</v>
      </c>
      <c r="U4" s="26">
        <v>5225395</v>
      </c>
      <c r="V4" s="26">
        <v>5225396</v>
      </c>
      <c r="W4" s="28" t="s">
        <v>19</v>
      </c>
      <c r="Y4" s="20">
        <f>R4</f>
        <v>5225392</v>
      </c>
      <c r="Z4" s="21"/>
      <c r="AA4" s="8" t="s">
        <v>11</v>
      </c>
      <c r="AB4" s="7">
        <v>3.5</v>
      </c>
    </row>
    <row r="5" spans="1:1024" ht="20.100000000000001" customHeight="1" x14ac:dyDescent="0.25">
      <c r="B5" s="15" t="s">
        <v>15</v>
      </c>
      <c r="C5" s="29" t="s">
        <v>12</v>
      </c>
      <c r="D5" s="30"/>
      <c r="E5" s="30"/>
      <c r="F5" s="30"/>
      <c r="G5" s="11"/>
      <c r="H5" s="12"/>
      <c r="I5" s="13"/>
      <c r="K5" s="14" t="s">
        <v>16</v>
      </c>
      <c r="L5" s="23" t="s">
        <v>17</v>
      </c>
      <c r="M5" s="23" t="s">
        <v>18</v>
      </c>
      <c r="P5" s="25" t="s">
        <v>13</v>
      </c>
      <c r="Q5" s="26">
        <v>5225397</v>
      </c>
      <c r="R5" s="26">
        <v>5225398</v>
      </c>
      <c r="S5" s="27">
        <v>5225399</v>
      </c>
      <c r="T5" s="26">
        <v>5225400</v>
      </c>
      <c r="U5" s="26">
        <v>5225401</v>
      </c>
      <c r="V5" s="26">
        <v>5225402</v>
      </c>
      <c r="W5" s="26" t="s">
        <v>19</v>
      </c>
      <c r="Y5" s="20">
        <f>S4</f>
        <v>5225393</v>
      </c>
      <c r="Z5" s="21"/>
      <c r="AA5" s="8" t="s">
        <v>11</v>
      </c>
      <c r="AB5" s="7">
        <v>4</v>
      </c>
    </row>
    <row r="6" spans="1:1024" ht="20.100000000000001" customHeight="1" x14ac:dyDescent="0.25">
      <c r="B6" s="31" t="s">
        <v>20</v>
      </c>
      <c r="C6" s="29" t="s">
        <v>9</v>
      </c>
      <c r="E6" s="30"/>
      <c r="F6" s="32"/>
      <c r="G6" s="33" t="s">
        <v>21</v>
      </c>
      <c r="H6" s="34"/>
      <c r="I6" s="34"/>
      <c r="K6" s="14" t="s">
        <v>22</v>
      </c>
      <c r="L6" s="23" t="s">
        <v>23</v>
      </c>
      <c r="M6" s="23" t="s">
        <v>24</v>
      </c>
      <c r="P6" s="25" t="s">
        <v>18</v>
      </c>
      <c r="Q6" s="26">
        <v>5225403</v>
      </c>
      <c r="R6" s="26">
        <v>5225404</v>
      </c>
      <c r="S6" s="27">
        <v>5225405</v>
      </c>
      <c r="T6" s="26">
        <v>5225406</v>
      </c>
      <c r="U6" s="26">
        <v>5225407</v>
      </c>
      <c r="V6" s="26">
        <v>5225408</v>
      </c>
      <c r="W6" s="28" t="s">
        <v>19</v>
      </c>
      <c r="Y6" s="35">
        <f>T4</f>
        <v>5225394</v>
      </c>
      <c r="Z6" s="21"/>
      <c r="AA6" s="8" t="s">
        <v>11</v>
      </c>
      <c r="AB6" s="7">
        <v>4.5</v>
      </c>
    </row>
    <row r="7" spans="1:1024" ht="20.100000000000001" customHeight="1" x14ac:dyDescent="0.25">
      <c r="B7" s="31" t="s">
        <v>25</v>
      </c>
      <c r="C7" s="36" t="s">
        <v>44</v>
      </c>
      <c r="D7" s="37"/>
      <c r="E7" s="11"/>
      <c r="F7" s="30"/>
      <c r="G7" s="11"/>
      <c r="H7" s="12"/>
      <c r="I7" s="13"/>
      <c r="K7" s="38" t="str">
        <f>INDEX(L4:M6,MATCH(C5,K4:K6,0),MATCH(C6,L3:M3,0))</f>
        <v>10 mm, 4-lags opal</v>
      </c>
      <c r="P7" s="25" t="s">
        <v>17</v>
      </c>
      <c r="Q7" s="26">
        <v>5225409</v>
      </c>
      <c r="R7" s="26">
        <v>5225410</v>
      </c>
      <c r="S7" s="27">
        <v>5225411</v>
      </c>
      <c r="T7" s="26">
        <v>5225412</v>
      </c>
      <c r="U7" s="26">
        <v>5225413</v>
      </c>
      <c r="V7" s="26">
        <v>5225414</v>
      </c>
      <c r="W7" s="26" t="s">
        <v>19</v>
      </c>
      <c r="Y7" s="39">
        <f>U4</f>
        <v>5225395</v>
      </c>
      <c r="Z7" s="21"/>
      <c r="AA7" s="8" t="s">
        <v>11</v>
      </c>
      <c r="AB7" s="7">
        <v>5</v>
      </c>
    </row>
    <row r="8" spans="1:1024" ht="20.100000000000001" customHeight="1" x14ac:dyDescent="0.25">
      <c r="B8" s="31" t="s">
        <v>27</v>
      </c>
      <c r="C8" s="166" t="s">
        <v>44</v>
      </c>
      <c r="D8" s="37"/>
      <c r="E8" s="11"/>
      <c r="F8" s="11"/>
      <c r="G8" s="11"/>
      <c r="H8" s="40"/>
      <c r="I8" s="13"/>
      <c r="P8" s="25" t="s">
        <v>24</v>
      </c>
      <c r="Q8" s="26">
        <v>1469665</v>
      </c>
      <c r="R8" s="26">
        <v>1469667</v>
      </c>
      <c r="S8" s="27">
        <v>1469669</v>
      </c>
      <c r="T8" s="26">
        <v>1469670</v>
      </c>
      <c r="U8" s="28" t="s">
        <v>19</v>
      </c>
      <c r="V8" s="28" t="s">
        <v>19</v>
      </c>
      <c r="W8" s="26" t="s">
        <v>19</v>
      </c>
      <c r="Y8" s="39">
        <f>V4</f>
        <v>5225396</v>
      </c>
      <c r="Z8" s="21"/>
      <c r="AA8" s="8" t="s">
        <v>11</v>
      </c>
      <c r="AB8" s="7">
        <v>6</v>
      </c>
    </row>
    <row r="9" spans="1:1024" ht="20.100000000000001" customHeight="1" x14ac:dyDescent="0.25">
      <c r="B9" s="165" t="s">
        <v>101</v>
      </c>
      <c r="C9" s="168" t="s">
        <v>44</v>
      </c>
      <c r="D9" s="11"/>
      <c r="E9" s="11"/>
      <c r="F9" s="11"/>
      <c r="G9" s="11"/>
      <c r="H9" s="40"/>
      <c r="I9" s="13"/>
      <c r="K9" s="41" t="s">
        <v>28</v>
      </c>
      <c r="L9" s="41" t="s">
        <v>29</v>
      </c>
      <c r="M9" s="41" t="s">
        <v>5</v>
      </c>
      <c r="P9" s="25" t="s">
        <v>23</v>
      </c>
      <c r="Q9" s="42" t="s">
        <v>30</v>
      </c>
      <c r="R9" s="42" t="s">
        <v>30</v>
      </c>
      <c r="S9" s="43" t="s">
        <v>30</v>
      </c>
      <c r="T9" s="42" t="s">
        <v>30</v>
      </c>
      <c r="U9" s="28" t="s">
        <v>19</v>
      </c>
      <c r="V9" s="28" t="s">
        <v>19</v>
      </c>
      <c r="W9" s="28" t="s">
        <v>19</v>
      </c>
      <c r="Y9" s="39">
        <f>Q5</f>
        <v>5225397</v>
      </c>
      <c r="Z9" s="21"/>
      <c r="AA9" s="8" t="s">
        <v>31</v>
      </c>
      <c r="AB9" s="7">
        <v>3</v>
      </c>
    </row>
    <row r="10" spans="1:1024" ht="20.100000000000001" customHeight="1" x14ac:dyDescent="0.25">
      <c r="A10" s="116"/>
      <c r="B10" s="167" t="s">
        <v>102</v>
      </c>
      <c r="C10" s="11"/>
      <c r="D10" s="11"/>
      <c r="E10" s="11"/>
      <c r="F10" s="11"/>
      <c r="G10" s="11"/>
      <c r="H10" s="40"/>
      <c r="I10" s="158"/>
      <c r="J10" s="116"/>
      <c r="K10" s="41"/>
      <c r="L10" s="41"/>
      <c r="M10" s="41"/>
      <c r="N10" s="116"/>
      <c r="O10" s="116"/>
      <c r="P10" s="25"/>
      <c r="Q10" s="42"/>
      <c r="R10" s="42"/>
      <c r="S10" s="43"/>
      <c r="T10" s="42"/>
      <c r="U10" s="28"/>
      <c r="V10" s="28"/>
      <c r="W10" s="28"/>
      <c r="X10" s="116"/>
      <c r="Y10" s="136"/>
      <c r="Z10" s="21"/>
      <c r="AA10" s="120"/>
      <c r="AB10" s="141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6"/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116"/>
      <c r="NI10" s="116"/>
      <c r="NJ10" s="116"/>
      <c r="NK10" s="116"/>
      <c r="NL10" s="116"/>
      <c r="NM10" s="116"/>
      <c r="NN10" s="116"/>
      <c r="NO10" s="116"/>
      <c r="NP10" s="116"/>
      <c r="NQ10" s="116"/>
      <c r="NR10" s="116"/>
      <c r="NS10" s="116"/>
      <c r="NT10" s="116"/>
      <c r="NU10" s="116"/>
      <c r="NV10" s="116"/>
      <c r="NW10" s="116"/>
      <c r="NX10" s="116"/>
      <c r="NY10" s="116"/>
      <c r="NZ10" s="116"/>
      <c r="OA10" s="116"/>
      <c r="OB10" s="116"/>
      <c r="OC10" s="116"/>
      <c r="OD10" s="116"/>
      <c r="OE10" s="116"/>
      <c r="OF10" s="116"/>
      <c r="OG10" s="116"/>
      <c r="OH10" s="116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16"/>
      <c r="PQ10" s="116"/>
      <c r="PR10" s="116"/>
      <c r="PS10" s="116"/>
      <c r="PT10" s="116"/>
      <c r="PU10" s="116"/>
      <c r="PV10" s="116"/>
      <c r="PW10" s="116"/>
      <c r="PX10" s="116"/>
      <c r="PY10" s="116"/>
      <c r="PZ10" s="116"/>
      <c r="QA10" s="116"/>
      <c r="QB10" s="116"/>
      <c r="QC10" s="116"/>
      <c r="QD10" s="116"/>
      <c r="QE10" s="116"/>
      <c r="QF10" s="116"/>
      <c r="QG10" s="116"/>
      <c r="QH10" s="116"/>
      <c r="QI10" s="116"/>
      <c r="QJ10" s="116"/>
      <c r="QK10" s="116"/>
      <c r="QL10" s="116"/>
      <c r="QM10" s="116"/>
      <c r="QN10" s="116"/>
      <c r="QO10" s="116"/>
      <c r="QP10" s="116"/>
      <c r="QQ10" s="116"/>
      <c r="QR10" s="116"/>
      <c r="QS10" s="116"/>
      <c r="QT10" s="116"/>
      <c r="QU10" s="116"/>
      <c r="QV10" s="116"/>
      <c r="QW10" s="116"/>
      <c r="QX10" s="116"/>
      <c r="QY10" s="116"/>
      <c r="QZ10" s="116"/>
      <c r="RA10" s="116"/>
      <c r="RB10" s="116"/>
      <c r="RC10" s="116"/>
      <c r="RD10" s="116"/>
      <c r="RE10" s="116"/>
      <c r="RF10" s="116"/>
      <c r="RG10" s="116"/>
      <c r="RH10" s="116"/>
      <c r="RI10" s="116"/>
      <c r="RJ10" s="116"/>
      <c r="RK10" s="116"/>
      <c r="RL10" s="116"/>
      <c r="RM10" s="116"/>
      <c r="RN10" s="116"/>
      <c r="RO10" s="116"/>
      <c r="RP10" s="116"/>
      <c r="RQ10" s="116"/>
      <c r="RR10" s="116"/>
      <c r="RS10" s="116"/>
      <c r="RT10" s="116"/>
      <c r="RU10" s="116"/>
      <c r="RV10" s="116"/>
      <c r="RW10" s="116"/>
      <c r="RX10" s="116"/>
      <c r="RY10" s="116"/>
      <c r="RZ10" s="116"/>
      <c r="SA10" s="116"/>
      <c r="SB10" s="116"/>
      <c r="SC10" s="116"/>
      <c r="SD10" s="116"/>
      <c r="SE10" s="116"/>
      <c r="SF10" s="116"/>
      <c r="SG10" s="116"/>
      <c r="SH10" s="116"/>
      <c r="SI10" s="116"/>
      <c r="SJ10" s="116"/>
      <c r="SK10" s="116"/>
      <c r="SL10" s="116"/>
      <c r="SM10" s="116"/>
      <c r="SN10" s="116"/>
      <c r="SO10" s="116"/>
      <c r="SP10" s="116"/>
      <c r="SQ10" s="116"/>
      <c r="SR10" s="116"/>
      <c r="SS10" s="116"/>
      <c r="ST10" s="116"/>
      <c r="SU10" s="116"/>
      <c r="SV10" s="116"/>
      <c r="SW10" s="116"/>
      <c r="SX10" s="116"/>
      <c r="SY10" s="116"/>
      <c r="SZ10" s="116"/>
      <c r="TA10" s="116"/>
      <c r="TB10" s="116"/>
      <c r="TC10" s="116"/>
      <c r="TD10" s="116"/>
      <c r="TE10" s="116"/>
      <c r="TF10" s="116"/>
      <c r="TG10" s="116"/>
      <c r="TH10" s="116"/>
      <c r="TI10" s="116"/>
      <c r="TJ10" s="116"/>
      <c r="TK10" s="116"/>
      <c r="TL10" s="116"/>
      <c r="TM10" s="116"/>
      <c r="TN10" s="116"/>
      <c r="TO10" s="116"/>
      <c r="TP10" s="116"/>
      <c r="TQ10" s="116"/>
      <c r="TR10" s="116"/>
      <c r="TS10" s="116"/>
      <c r="TT10" s="116"/>
      <c r="TU10" s="116"/>
      <c r="TV10" s="116"/>
      <c r="TW10" s="116"/>
      <c r="TX10" s="116"/>
      <c r="TY10" s="116"/>
      <c r="TZ10" s="116"/>
      <c r="UA10" s="116"/>
      <c r="UB10" s="116"/>
      <c r="UC10" s="116"/>
      <c r="UD10" s="116"/>
      <c r="UE10" s="116"/>
      <c r="UF10" s="116"/>
      <c r="UG10" s="116"/>
      <c r="UH10" s="116"/>
      <c r="UI10" s="116"/>
      <c r="UJ10" s="116"/>
      <c r="UK10" s="116"/>
      <c r="UL10" s="116"/>
      <c r="UM10" s="116"/>
      <c r="UN10" s="116"/>
      <c r="UO10" s="116"/>
      <c r="UP10" s="116"/>
      <c r="UQ10" s="116"/>
      <c r="UR10" s="116"/>
      <c r="US10" s="116"/>
      <c r="UT10" s="116"/>
      <c r="UU10" s="116"/>
      <c r="UV10" s="116"/>
      <c r="UW10" s="116"/>
      <c r="UX10" s="116"/>
      <c r="UY10" s="116"/>
      <c r="UZ10" s="116"/>
      <c r="VA10" s="116"/>
      <c r="VB10" s="116"/>
      <c r="VC10" s="116"/>
      <c r="VD10" s="116"/>
      <c r="VE10" s="116"/>
      <c r="VF10" s="116"/>
      <c r="VG10" s="116"/>
      <c r="VH10" s="116"/>
      <c r="VI10" s="116"/>
      <c r="VJ10" s="116"/>
      <c r="VK10" s="116"/>
      <c r="VL10" s="116"/>
      <c r="VM10" s="116"/>
      <c r="VN10" s="116"/>
      <c r="VO10" s="116"/>
      <c r="VP10" s="116"/>
      <c r="VQ10" s="116"/>
      <c r="VR10" s="116"/>
      <c r="VS10" s="116"/>
      <c r="VT10" s="116"/>
      <c r="VU10" s="116"/>
      <c r="VV10" s="116"/>
      <c r="VW10" s="116"/>
      <c r="VX10" s="116"/>
      <c r="VY10" s="116"/>
      <c r="VZ10" s="116"/>
      <c r="WA10" s="116"/>
      <c r="WB10" s="116"/>
      <c r="WC10" s="116"/>
      <c r="WD10" s="116"/>
      <c r="WE10" s="116"/>
      <c r="WF10" s="116"/>
      <c r="WG10" s="116"/>
      <c r="WH10" s="116"/>
      <c r="WI10" s="116"/>
      <c r="WJ10" s="116"/>
      <c r="WK10" s="116"/>
      <c r="WL10" s="116"/>
      <c r="WM10" s="116"/>
      <c r="WN10" s="116"/>
      <c r="WO10" s="116"/>
      <c r="WP10" s="116"/>
      <c r="WQ10" s="116"/>
      <c r="WR10" s="116"/>
      <c r="WS10" s="116"/>
      <c r="WT10" s="116"/>
      <c r="WU10" s="116"/>
      <c r="WV10" s="116"/>
      <c r="WW10" s="116"/>
      <c r="WX10" s="116"/>
      <c r="WY10" s="116"/>
      <c r="WZ10" s="116"/>
      <c r="XA10" s="116"/>
      <c r="XB10" s="116"/>
      <c r="XC10" s="116"/>
      <c r="XD10" s="116"/>
      <c r="XE10" s="116"/>
      <c r="XF10" s="116"/>
      <c r="XG10" s="116"/>
      <c r="XH10" s="116"/>
      <c r="XI10" s="116"/>
      <c r="XJ10" s="116"/>
      <c r="XK10" s="116"/>
      <c r="XL10" s="116"/>
      <c r="XM10" s="116"/>
      <c r="XN10" s="116"/>
      <c r="XO10" s="116"/>
      <c r="XP10" s="116"/>
      <c r="XQ10" s="116"/>
      <c r="XR10" s="116"/>
      <c r="XS10" s="116"/>
      <c r="XT10" s="116"/>
      <c r="XU10" s="116"/>
      <c r="XV10" s="116"/>
      <c r="XW10" s="116"/>
      <c r="XX10" s="116"/>
      <c r="XY10" s="116"/>
      <c r="XZ10" s="116"/>
      <c r="YA10" s="116"/>
      <c r="YB10" s="116"/>
      <c r="YC10" s="116"/>
      <c r="YD10" s="116"/>
      <c r="YE10" s="116"/>
      <c r="YF10" s="116"/>
      <c r="YG10" s="116"/>
      <c r="YH10" s="116"/>
      <c r="YI10" s="116"/>
      <c r="YJ10" s="116"/>
      <c r="YK10" s="116"/>
      <c r="YL10" s="116"/>
      <c r="YM10" s="116"/>
      <c r="YN10" s="116"/>
      <c r="YO10" s="116"/>
      <c r="YP10" s="116"/>
      <c r="YQ10" s="116"/>
      <c r="YR10" s="116"/>
      <c r="YS10" s="116"/>
      <c r="YT10" s="116"/>
      <c r="YU10" s="116"/>
      <c r="YV10" s="116"/>
      <c r="YW10" s="116"/>
      <c r="YX10" s="116"/>
      <c r="YY10" s="116"/>
      <c r="YZ10" s="116"/>
      <c r="ZA10" s="116"/>
      <c r="ZB10" s="116"/>
      <c r="ZC10" s="116"/>
      <c r="ZD10" s="116"/>
      <c r="ZE10" s="116"/>
      <c r="ZF10" s="116"/>
      <c r="ZG10" s="116"/>
      <c r="ZH10" s="116"/>
      <c r="ZI10" s="116"/>
      <c r="ZJ10" s="116"/>
      <c r="ZK10" s="116"/>
      <c r="ZL10" s="116"/>
      <c r="ZM10" s="116"/>
      <c r="ZN10" s="116"/>
      <c r="ZO10" s="116"/>
      <c r="ZP10" s="116"/>
      <c r="ZQ10" s="116"/>
      <c r="ZR10" s="116"/>
      <c r="ZS10" s="116"/>
      <c r="ZT10" s="116"/>
      <c r="ZU10" s="116"/>
      <c r="ZV10" s="116"/>
      <c r="ZW10" s="116"/>
      <c r="ZX10" s="116"/>
      <c r="ZY10" s="116"/>
      <c r="ZZ10" s="116"/>
      <c r="AAA10" s="116"/>
      <c r="AAB10" s="116"/>
      <c r="AAC10" s="116"/>
      <c r="AAD10" s="116"/>
      <c r="AAE10" s="116"/>
      <c r="AAF10" s="116"/>
      <c r="AAG10" s="116"/>
      <c r="AAH10" s="116"/>
      <c r="AAI10" s="116"/>
      <c r="AAJ10" s="116"/>
      <c r="AAK10" s="116"/>
      <c r="AAL10" s="116"/>
      <c r="AAM10" s="116"/>
      <c r="AAN10" s="116"/>
      <c r="AAO10" s="116"/>
      <c r="AAP10" s="116"/>
      <c r="AAQ10" s="116"/>
      <c r="AAR10" s="116"/>
      <c r="AAS10" s="116"/>
      <c r="AAT10" s="116"/>
      <c r="AAU10" s="116"/>
      <c r="AAV10" s="116"/>
      <c r="AAW10" s="116"/>
      <c r="AAX10" s="116"/>
      <c r="AAY10" s="116"/>
      <c r="AAZ10" s="116"/>
      <c r="ABA10" s="116"/>
      <c r="ABB10" s="116"/>
      <c r="ABC10" s="116"/>
      <c r="ABD10" s="116"/>
      <c r="ABE10" s="116"/>
      <c r="ABF10" s="116"/>
      <c r="ABG10" s="116"/>
      <c r="ABH10" s="116"/>
      <c r="ABI10" s="116"/>
      <c r="ABJ10" s="116"/>
      <c r="ABK10" s="116"/>
      <c r="ABL10" s="116"/>
      <c r="ABM10" s="116"/>
      <c r="ABN10" s="116"/>
      <c r="ABO10" s="116"/>
      <c r="ABP10" s="116"/>
      <c r="ABQ10" s="116"/>
      <c r="ABR10" s="116"/>
      <c r="ABS10" s="116"/>
      <c r="ABT10" s="116"/>
      <c r="ABU10" s="116"/>
      <c r="ABV10" s="116"/>
      <c r="ABW10" s="116"/>
      <c r="ABX10" s="116"/>
      <c r="ABY10" s="116"/>
      <c r="ABZ10" s="116"/>
      <c r="ACA10" s="116"/>
      <c r="ACB10" s="116"/>
      <c r="ACC10" s="116"/>
      <c r="ACD10" s="116"/>
      <c r="ACE10" s="116"/>
      <c r="ACF10" s="116"/>
      <c r="ACG10" s="116"/>
      <c r="ACH10" s="116"/>
      <c r="ACI10" s="116"/>
      <c r="ACJ10" s="116"/>
      <c r="ACK10" s="116"/>
      <c r="ACL10" s="116"/>
      <c r="ACM10" s="116"/>
      <c r="ACN10" s="116"/>
      <c r="ACO10" s="116"/>
      <c r="ACP10" s="116"/>
      <c r="ACQ10" s="116"/>
      <c r="ACR10" s="116"/>
      <c r="ACS10" s="116"/>
      <c r="ACT10" s="116"/>
      <c r="ACU10" s="116"/>
      <c r="ACV10" s="116"/>
      <c r="ACW10" s="116"/>
      <c r="ACX10" s="116"/>
      <c r="ACY10" s="116"/>
      <c r="ACZ10" s="116"/>
      <c r="ADA10" s="116"/>
      <c r="ADB10" s="116"/>
      <c r="ADC10" s="116"/>
      <c r="ADD10" s="116"/>
      <c r="ADE10" s="116"/>
      <c r="ADF10" s="116"/>
      <c r="ADG10" s="116"/>
      <c r="ADH10" s="116"/>
      <c r="ADI10" s="116"/>
      <c r="ADJ10" s="116"/>
      <c r="ADK10" s="116"/>
      <c r="ADL10" s="116"/>
      <c r="ADM10" s="116"/>
      <c r="ADN10" s="116"/>
      <c r="ADO10" s="116"/>
      <c r="ADP10" s="116"/>
      <c r="ADQ10" s="116"/>
      <c r="ADR10" s="116"/>
      <c r="ADS10" s="116"/>
      <c r="ADT10" s="116"/>
      <c r="ADU10" s="116"/>
      <c r="ADV10" s="116"/>
      <c r="ADW10" s="116"/>
      <c r="ADX10" s="116"/>
      <c r="ADY10" s="116"/>
      <c r="ADZ10" s="116"/>
      <c r="AEA10" s="116"/>
      <c r="AEB10" s="116"/>
      <c r="AEC10" s="116"/>
      <c r="AED10" s="116"/>
      <c r="AEE10" s="116"/>
      <c r="AEF10" s="116"/>
      <c r="AEG10" s="116"/>
      <c r="AEH10" s="116"/>
      <c r="AEI10" s="116"/>
      <c r="AEJ10" s="116"/>
      <c r="AEK10" s="116"/>
      <c r="AEL10" s="116"/>
      <c r="AEM10" s="116"/>
      <c r="AEN10" s="116"/>
      <c r="AEO10" s="116"/>
      <c r="AEP10" s="116"/>
      <c r="AEQ10" s="116"/>
      <c r="AER10" s="116"/>
      <c r="AES10" s="116"/>
      <c r="AET10" s="116"/>
      <c r="AEU10" s="116"/>
      <c r="AEV10" s="116"/>
      <c r="AEW10" s="116"/>
      <c r="AEX10" s="116"/>
      <c r="AEY10" s="116"/>
      <c r="AEZ10" s="116"/>
      <c r="AFA10" s="116"/>
      <c r="AFB10" s="116"/>
      <c r="AFC10" s="116"/>
      <c r="AFD10" s="116"/>
      <c r="AFE10" s="116"/>
      <c r="AFF10" s="116"/>
      <c r="AFG10" s="116"/>
      <c r="AFH10" s="116"/>
      <c r="AFI10" s="116"/>
      <c r="AFJ10" s="116"/>
      <c r="AFK10" s="116"/>
      <c r="AFL10" s="116"/>
      <c r="AFM10" s="116"/>
      <c r="AFN10" s="116"/>
      <c r="AFO10" s="116"/>
      <c r="AFP10" s="116"/>
      <c r="AFQ10" s="116"/>
      <c r="AFR10" s="116"/>
      <c r="AFS10" s="116"/>
      <c r="AFT10" s="116"/>
      <c r="AFU10" s="116"/>
      <c r="AFV10" s="116"/>
      <c r="AFW10" s="116"/>
      <c r="AFX10" s="116"/>
      <c r="AFY10" s="116"/>
      <c r="AFZ10" s="116"/>
      <c r="AGA10" s="116"/>
      <c r="AGB10" s="116"/>
      <c r="AGC10" s="116"/>
      <c r="AGD10" s="116"/>
      <c r="AGE10" s="116"/>
      <c r="AGF10" s="116"/>
      <c r="AGG10" s="116"/>
      <c r="AGH10" s="116"/>
      <c r="AGI10" s="116"/>
      <c r="AGJ10" s="116"/>
      <c r="AGK10" s="116"/>
      <c r="AGL10" s="116"/>
      <c r="AGM10" s="116"/>
      <c r="AGN10" s="116"/>
      <c r="AGO10" s="116"/>
      <c r="AGP10" s="116"/>
      <c r="AGQ10" s="116"/>
      <c r="AGR10" s="116"/>
      <c r="AGS10" s="116"/>
      <c r="AGT10" s="116"/>
      <c r="AGU10" s="116"/>
      <c r="AGV10" s="116"/>
      <c r="AGW10" s="116"/>
      <c r="AGX10" s="116"/>
      <c r="AGY10" s="116"/>
      <c r="AGZ10" s="116"/>
      <c r="AHA10" s="116"/>
      <c r="AHB10" s="116"/>
      <c r="AHC10" s="116"/>
      <c r="AHD10" s="116"/>
      <c r="AHE10" s="116"/>
      <c r="AHF10" s="116"/>
      <c r="AHG10" s="116"/>
      <c r="AHH10" s="116"/>
      <c r="AHI10" s="116"/>
      <c r="AHJ10" s="116"/>
      <c r="AHK10" s="116"/>
      <c r="AHL10" s="116"/>
      <c r="AHM10" s="116"/>
      <c r="AHN10" s="116"/>
      <c r="AHO10" s="116"/>
      <c r="AHP10" s="116"/>
      <c r="AHQ10" s="116"/>
      <c r="AHR10" s="116"/>
      <c r="AHS10" s="116"/>
      <c r="AHT10" s="116"/>
      <c r="AHU10" s="116"/>
      <c r="AHV10" s="116"/>
      <c r="AHW10" s="116"/>
      <c r="AHX10" s="116"/>
      <c r="AHY10" s="116"/>
      <c r="AHZ10" s="116"/>
      <c r="AIA10" s="116"/>
      <c r="AIB10" s="116"/>
      <c r="AIC10" s="116"/>
      <c r="AID10" s="116"/>
      <c r="AIE10" s="116"/>
      <c r="AIF10" s="116"/>
      <c r="AIG10" s="116"/>
      <c r="AIH10" s="116"/>
      <c r="AII10" s="116"/>
      <c r="AIJ10" s="116"/>
      <c r="AIK10" s="116"/>
      <c r="AIL10" s="116"/>
      <c r="AIM10" s="116"/>
      <c r="AIN10" s="116"/>
      <c r="AIO10" s="116"/>
      <c r="AIP10" s="116"/>
      <c r="AIQ10" s="116"/>
      <c r="AIR10" s="116"/>
      <c r="AIS10" s="116"/>
      <c r="AIT10" s="116"/>
      <c r="AIU10" s="116"/>
      <c r="AIV10" s="116"/>
      <c r="AIW10" s="116"/>
      <c r="AIX10" s="116"/>
      <c r="AIY10" s="116"/>
      <c r="AIZ10" s="116"/>
      <c r="AJA10" s="116"/>
      <c r="AJB10" s="116"/>
      <c r="AJC10" s="116"/>
      <c r="AJD10" s="116"/>
      <c r="AJE10" s="116"/>
      <c r="AJF10" s="116"/>
      <c r="AJG10" s="116"/>
      <c r="AJH10" s="116"/>
      <c r="AJI10" s="116"/>
      <c r="AJJ10" s="116"/>
      <c r="AJK10" s="116"/>
      <c r="AJL10" s="116"/>
      <c r="AJM10" s="116"/>
      <c r="AJN10" s="116"/>
      <c r="AJO10" s="116"/>
      <c r="AJP10" s="116"/>
      <c r="AJQ10" s="116"/>
      <c r="AJR10" s="116"/>
      <c r="AJS10" s="116"/>
      <c r="AJT10" s="116"/>
      <c r="AJU10" s="116"/>
      <c r="AJV10" s="116"/>
      <c r="AJW10" s="116"/>
      <c r="AJX10" s="116"/>
      <c r="AJY10" s="116"/>
      <c r="AJZ10" s="116"/>
      <c r="AKA10" s="116"/>
      <c r="AKB10" s="116"/>
      <c r="AKC10" s="116"/>
      <c r="AKD10" s="116"/>
      <c r="AKE10" s="116"/>
      <c r="AKF10" s="116"/>
      <c r="AKG10" s="116"/>
      <c r="AKH10" s="116"/>
      <c r="AKI10" s="116"/>
      <c r="AKJ10" s="116"/>
      <c r="AKK10" s="116"/>
      <c r="AKL10" s="116"/>
      <c r="AKM10" s="116"/>
      <c r="AKN10" s="116"/>
      <c r="AKO10" s="116"/>
      <c r="AKP10" s="116"/>
      <c r="AKQ10" s="116"/>
      <c r="AKR10" s="116"/>
      <c r="AKS10" s="116"/>
      <c r="AKT10" s="116"/>
      <c r="AKU10" s="116"/>
      <c r="AKV10" s="116"/>
      <c r="AKW10" s="116"/>
      <c r="AKX10" s="116"/>
      <c r="AKY10" s="116"/>
      <c r="AKZ10" s="116"/>
      <c r="ALA10" s="116"/>
      <c r="ALB10" s="116"/>
      <c r="ALC10" s="116"/>
      <c r="ALD10" s="116"/>
      <c r="ALE10" s="116"/>
      <c r="ALF10" s="116"/>
      <c r="ALG10" s="116"/>
      <c r="ALH10" s="116"/>
      <c r="ALI10" s="116"/>
      <c r="ALJ10" s="116"/>
      <c r="ALK10" s="116"/>
      <c r="ALL10" s="116"/>
      <c r="ALM10" s="116"/>
      <c r="ALN10" s="116"/>
      <c r="ALO10" s="116"/>
      <c r="ALP10" s="116"/>
      <c r="ALQ10" s="116"/>
      <c r="ALR10" s="116"/>
      <c r="ALS10" s="116"/>
      <c r="ALT10" s="116"/>
      <c r="ALU10" s="116"/>
      <c r="ALV10" s="116"/>
      <c r="ALW10" s="116"/>
      <c r="ALX10" s="116"/>
      <c r="ALY10" s="116"/>
      <c r="ALZ10" s="116"/>
      <c r="AMA10" s="116"/>
      <c r="AMB10" s="116"/>
      <c r="AMC10" s="116"/>
      <c r="AMD10" s="116"/>
      <c r="AME10" s="116"/>
      <c r="AMF10" s="116"/>
      <c r="AMG10" s="116"/>
      <c r="AMH10" s="116"/>
      <c r="AMI10" s="116"/>
      <c r="AMJ10" s="116"/>
    </row>
    <row r="11" spans="1:1024" ht="18" customHeight="1" x14ac:dyDescent="0.25">
      <c r="B11" s="9"/>
      <c r="C11" s="10"/>
      <c r="D11" s="11"/>
      <c r="E11" s="11"/>
      <c r="F11" s="13"/>
      <c r="G11" s="11"/>
      <c r="H11" s="40"/>
      <c r="I11" s="13"/>
      <c r="K11" s="44" t="str">
        <f>K4</f>
        <v>10 mm, 4-lags</v>
      </c>
      <c r="L11" s="14">
        <v>5908572</v>
      </c>
      <c r="M11" s="45"/>
      <c r="N11" s="46" t="s">
        <v>32</v>
      </c>
      <c r="O11" s="47" t="s">
        <v>33</v>
      </c>
      <c r="P11" s="41" t="s">
        <v>34</v>
      </c>
      <c r="Q11" s="26">
        <v>5908552</v>
      </c>
      <c r="R11" s="26">
        <v>5908553</v>
      </c>
      <c r="S11" s="27">
        <v>5908554</v>
      </c>
      <c r="T11" s="26">
        <v>5908555</v>
      </c>
      <c r="U11" s="26">
        <v>5908556</v>
      </c>
      <c r="V11" s="26">
        <v>5908557</v>
      </c>
      <c r="W11" s="26" t="s">
        <v>19</v>
      </c>
      <c r="Y11" s="39">
        <f>R5</f>
        <v>5225398</v>
      </c>
      <c r="Z11" s="21"/>
      <c r="AA11" s="8" t="s">
        <v>31</v>
      </c>
      <c r="AB11" s="7">
        <v>3.5</v>
      </c>
    </row>
    <row r="12" spans="1:1024" ht="20.100000000000001" customHeight="1" x14ac:dyDescent="0.25">
      <c r="B12" s="172" t="s">
        <v>35</v>
      </c>
      <c r="C12" s="48" t="s">
        <v>36</v>
      </c>
      <c r="D12" s="49" t="s">
        <v>37</v>
      </c>
      <c r="E12" s="50" t="s">
        <v>38</v>
      </c>
      <c r="F12" s="51"/>
      <c r="G12" s="13"/>
      <c r="H12" s="13"/>
      <c r="I12" s="52"/>
      <c r="K12" s="53" t="str">
        <f>K5</f>
        <v>16 mm, 7-lags</v>
      </c>
      <c r="L12" s="14">
        <v>5908573</v>
      </c>
      <c r="M12" s="21"/>
      <c r="N12" s="46" t="s">
        <v>39</v>
      </c>
      <c r="O12" s="47" t="s">
        <v>33</v>
      </c>
      <c r="Y12" s="39">
        <f>S5</f>
        <v>5225399</v>
      </c>
      <c r="Z12" s="21"/>
      <c r="AA12" s="8" t="s">
        <v>31</v>
      </c>
      <c r="AB12" s="7">
        <v>4</v>
      </c>
    </row>
    <row r="13" spans="1:1024" ht="20.100000000000001" customHeight="1" x14ac:dyDescent="0.25">
      <c r="B13" s="172"/>
      <c r="C13" s="54" t="s">
        <v>40</v>
      </c>
      <c r="D13" s="55" t="s">
        <v>40</v>
      </c>
      <c r="E13" s="56" t="s">
        <v>41</v>
      </c>
      <c r="F13" s="51"/>
      <c r="G13" s="13"/>
      <c r="H13" s="57"/>
      <c r="I13" s="13"/>
      <c r="K13" s="44" t="str">
        <f>K6</f>
        <v>25 mm, 7-lags</v>
      </c>
      <c r="L13" s="39">
        <v>1449467</v>
      </c>
      <c r="M13" s="21"/>
      <c r="N13" s="46" t="s">
        <v>42</v>
      </c>
      <c r="O13" s="47" t="s">
        <v>33</v>
      </c>
      <c r="P13" s="39" t="s">
        <v>43</v>
      </c>
      <c r="Q13" s="17" t="s">
        <v>29</v>
      </c>
      <c r="R13" s="17" t="s">
        <v>5</v>
      </c>
      <c r="U13" s="8" t="s">
        <v>44</v>
      </c>
      <c r="V13" s="1" t="s">
        <v>45</v>
      </c>
      <c r="Y13" s="39">
        <f>T5</f>
        <v>5225400</v>
      </c>
      <c r="Z13" s="21"/>
      <c r="AA13" s="8" t="s">
        <v>31</v>
      </c>
      <c r="AB13" s="7">
        <v>4.5</v>
      </c>
    </row>
    <row r="14" spans="1:1024" ht="20.100000000000001" customHeight="1" x14ac:dyDescent="0.25">
      <c r="B14" s="58" t="s">
        <v>46</v>
      </c>
      <c r="C14" s="59">
        <v>1</v>
      </c>
      <c r="D14" s="59">
        <v>1</v>
      </c>
      <c r="E14" s="60">
        <f>C14*D14</f>
        <v>1</v>
      </c>
      <c r="F14" s="61"/>
      <c r="G14" s="62"/>
      <c r="H14" s="173"/>
      <c r="I14" s="173"/>
      <c r="P14" s="14" t="str">
        <f>K4</f>
        <v>10 mm, 4-lags</v>
      </c>
      <c r="Q14" s="14">
        <v>5908576</v>
      </c>
      <c r="R14" s="21"/>
      <c r="S14" s="6" t="s">
        <v>47</v>
      </c>
      <c r="T14" s="1" t="s">
        <v>48</v>
      </c>
      <c r="U14" s="8" t="s">
        <v>26</v>
      </c>
      <c r="V14" s="1" t="s">
        <v>49</v>
      </c>
      <c r="Y14" s="39">
        <f>U5</f>
        <v>5225401</v>
      </c>
      <c r="Z14" s="21"/>
      <c r="AA14" s="8" t="s">
        <v>31</v>
      </c>
      <c r="AB14" s="7">
        <v>5</v>
      </c>
    </row>
    <row r="15" spans="1:1024" ht="20.100000000000001" customHeight="1" x14ac:dyDescent="0.25">
      <c r="B15" s="63"/>
      <c r="C15" s="64"/>
      <c r="D15" s="65"/>
      <c r="E15" s="66">
        <f>C15*D15</f>
        <v>0</v>
      </c>
      <c r="F15" s="61"/>
      <c r="G15" s="62"/>
      <c r="H15" s="173"/>
      <c r="I15" s="173"/>
      <c r="K15" s="67" t="s">
        <v>50</v>
      </c>
      <c r="L15" s="41" t="s">
        <v>29</v>
      </c>
      <c r="M15" s="41" t="s">
        <v>5</v>
      </c>
      <c r="P15" s="14" t="str">
        <f>K5</f>
        <v>16 mm, 7-lags</v>
      </c>
      <c r="Q15" s="68">
        <v>5908576</v>
      </c>
      <c r="R15" s="21"/>
      <c r="S15" s="6" t="s">
        <v>47</v>
      </c>
      <c r="T15" s="1" t="s">
        <v>48</v>
      </c>
      <c r="Y15" s="39">
        <f>V5</f>
        <v>5225402</v>
      </c>
      <c r="Z15" s="21"/>
      <c r="AA15" s="8" t="s">
        <v>31</v>
      </c>
      <c r="AB15" s="7">
        <v>6</v>
      </c>
    </row>
    <row r="16" spans="1:1024" ht="20.100000000000001" customHeight="1" x14ac:dyDescent="0.25">
      <c r="B16" s="63"/>
      <c r="C16" s="64"/>
      <c r="D16" s="65"/>
      <c r="E16" s="69">
        <f>C16*D16</f>
        <v>0</v>
      </c>
      <c r="F16" s="61"/>
      <c r="G16" s="62"/>
      <c r="H16" s="173"/>
      <c r="I16" s="173"/>
      <c r="K16" s="44" t="str">
        <f>K4</f>
        <v>10 mm, 4-lags</v>
      </c>
      <c r="L16" s="14">
        <v>5600364</v>
      </c>
      <c r="M16" s="70"/>
      <c r="N16" s="46" t="s">
        <v>32</v>
      </c>
      <c r="O16" s="71" t="s">
        <v>51</v>
      </c>
      <c r="P16" s="23" t="str">
        <f>K6</f>
        <v>25 mm, 7-lags</v>
      </c>
      <c r="Q16" s="39">
        <v>1469961</v>
      </c>
      <c r="R16" s="21"/>
      <c r="S16" s="6" t="s">
        <v>52</v>
      </c>
      <c r="T16" s="1" t="s">
        <v>48</v>
      </c>
      <c r="U16" s="72" t="s">
        <v>53</v>
      </c>
      <c r="X16" s="73"/>
      <c r="Y16" s="39">
        <f>Q6</f>
        <v>5225403</v>
      </c>
      <c r="Z16" s="74"/>
      <c r="AA16" s="8" t="s">
        <v>54</v>
      </c>
      <c r="AB16" s="7">
        <v>3</v>
      </c>
    </row>
    <row r="17" spans="2:28" ht="20.100000000000001" customHeight="1" x14ac:dyDescent="0.25">
      <c r="B17" s="75" t="s">
        <v>55</v>
      </c>
      <c r="C17" s="76"/>
      <c r="D17" s="77" t="s">
        <v>41</v>
      </c>
      <c r="E17" s="78">
        <f>SUM(E14:E16)</f>
        <v>1</v>
      </c>
      <c r="F17" s="51"/>
      <c r="G17" s="13"/>
      <c r="H17" s="79"/>
      <c r="I17" s="52"/>
      <c r="K17" s="44" t="str">
        <f>K5</f>
        <v>16 mm, 7-lags</v>
      </c>
      <c r="L17" s="14">
        <v>5600365</v>
      </c>
      <c r="M17" s="70"/>
      <c r="N17" s="46" t="s">
        <v>39</v>
      </c>
      <c r="O17" s="71" t="s">
        <v>51</v>
      </c>
      <c r="S17" s="80"/>
      <c r="U17" s="81">
        <v>3</v>
      </c>
      <c r="W17" s="8"/>
      <c r="X17" s="82"/>
      <c r="Y17" s="39">
        <f>R6</f>
        <v>5225404</v>
      </c>
      <c r="Z17" s="21"/>
      <c r="AA17" s="8" t="s">
        <v>54</v>
      </c>
      <c r="AB17" s="7">
        <v>3.5</v>
      </c>
    </row>
    <row r="18" spans="2:28" ht="20.100000000000001" customHeight="1" x14ac:dyDescent="0.25">
      <c r="B18" s="9"/>
      <c r="C18" s="10"/>
      <c r="D18" s="174" t="s">
        <v>56</v>
      </c>
      <c r="E18" s="174"/>
      <c r="F18" s="51"/>
      <c r="G18" s="13"/>
      <c r="H18" s="175"/>
      <c r="I18" s="175"/>
      <c r="K18" s="44" t="str">
        <f>K6</f>
        <v>25 mm, 7-lags</v>
      </c>
      <c r="L18" s="39">
        <v>1469983</v>
      </c>
      <c r="M18" s="70"/>
      <c r="N18" s="46" t="s">
        <v>42</v>
      </c>
      <c r="O18" s="71" t="s">
        <v>51</v>
      </c>
      <c r="P18" s="14" t="s">
        <v>57</v>
      </c>
      <c r="Q18" s="17" t="s">
        <v>29</v>
      </c>
      <c r="R18" s="17" t="s">
        <v>5</v>
      </c>
      <c r="S18" s="84" t="s">
        <v>58</v>
      </c>
      <c r="T18" s="8"/>
      <c r="U18" s="81">
        <v>3.5</v>
      </c>
      <c r="V18" s="8"/>
      <c r="X18" s="73"/>
      <c r="Y18" s="39">
        <f>S6</f>
        <v>5225405</v>
      </c>
      <c r="Z18" s="21"/>
      <c r="AA18" s="8" t="s">
        <v>54</v>
      </c>
      <c r="AB18" s="7">
        <v>4</v>
      </c>
    </row>
    <row r="19" spans="2:28" ht="20.100000000000001" customHeight="1" x14ac:dyDescent="0.25">
      <c r="B19" s="9"/>
      <c r="C19" s="10"/>
      <c r="D19" s="83"/>
      <c r="E19" s="83"/>
      <c r="F19" s="13"/>
      <c r="G19" s="13"/>
      <c r="H19" s="83"/>
      <c r="I19" s="83"/>
      <c r="P19" s="14" t="s">
        <v>59</v>
      </c>
      <c r="Q19" s="14">
        <v>5600370</v>
      </c>
      <c r="R19" s="21"/>
      <c r="S19" s="85" t="s">
        <v>60</v>
      </c>
      <c r="T19" s="8"/>
      <c r="U19" s="81">
        <v>4</v>
      </c>
      <c r="V19" s="8"/>
      <c r="X19" s="73"/>
      <c r="Y19" s="14">
        <f>T6</f>
        <v>5225406</v>
      </c>
      <c r="Z19" s="21"/>
      <c r="AA19" s="8" t="s">
        <v>54</v>
      </c>
      <c r="AB19" s="7">
        <v>4.5</v>
      </c>
    </row>
    <row r="20" spans="2:28" ht="20.100000000000001" customHeight="1" x14ac:dyDescent="0.2">
      <c r="B20" s="86" t="s">
        <v>61</v>
      </c>
      <c r="C20" s="31"/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87"/>
      <c r="K20" s="14" t="s">
        <v>34</v>
      </c>
      <c r="L20" s="17" t="s">
        <v>29</v>
      </c>
      <c r="M20" s="17" t="s">
        <v>5</v>
      </c>
      <c r="P20" s="14" t="s">
        <v>62</v>
      </c>
      <c r="Q20" s="14">
        <v>5600371</v>
      </c>
      <c r="R20" s="21"/>
      <c r="S20" s="84" t="s">
        <v>63</v>
      </c>
      <c r="T20" s="8"/>
      <c r="U20" s="81">
        <v>4.5</v>
      </c>
      <c r="V20" s="8"/>
      <c r="X20" s="73"/>
      <c r="Y20" s="14">
        <f>U6</f>
        <v>5225407</v>
      </c>
      <c r="Z20" s="21"/>
      <c r="AA20" s="8" t="s">
        <v>54</v>
      </c>
      <c r="AB20" s="7">
        <v>5</v>
      </c>
    </row>
    <row r="21" spans="2:28" ht="36" customHeight="1" x14ac:dyDescent="0.2">
      <c r="B21" s="176" t="s">
        <v>64</v>
      </c>
      <c r="C21" s="176"/>
      <c r="D21" s="88">
        <v>4.34</v>
      </c>
      <c r="E21" s="88">
        <v>5.41</v>
      </c>
      <c r="F21" s="49">
        <v>6.48</v>
      </c>
      <c r="G21" s="49">
        <v>7.55</v>
      </c>
      <c r="H21" s="49">
        <v>8.6199999999999992</v>
      </c>
      <c r="I21" s="87"/>
      <c r="K21" s="89">
        <v>3</v>
      </c>
      <c r="L21" s="14">
        <v>5908552</v>
      </c>
      <c r="M21" s="21"/>
      <c r="N21" s="46" t="s">
        <v>65</v>
      </c>
      <c r="P21" s="39" t="s">
        <v>66</v>
      </c>
      <c r="Q21" s="14">
        <v>5600372</v>
      </c>
      <c r="R21" s="21"/>
      <c r="S21" s="84" t="s">
        <v>67</v>
      </c>
      <c r="T21" s="8"/>
      <c r="U21" s="81">
        <v>5</v>
      </c>
      <c r="X21" s="73"/>
      <c r="Y21" s="14">
        <f>V6</f>
        <v>5225408</v>
      </c>
      <c r="Z21" s="21"/>
      <c r="AA21" s="8" t="s">
        <v>54</v>
      </c>
      <c r="AB21" s="7">
        <v>6</v>
      </c>
    </row>
    <row r="22" spans="2:28" ht="24.95" customHeight="1" x14ac:dyDescent="0.2">
      <c r="B22" s="177" t="s">
        <v>68</v>
      </c>
      <c r="C22" s="177"/>
      <c r="D22" s="177"/>
      <c r="E22" s="177"/>
      <c r="F22" s="177"/>
      <c r="G22" s="177"/>
      <c r="H22" s="177"/>
      <c r="I22" s="177"/>
      <c r="K22" s="89">
        <v>3.5</v>
      </c>
      <c r="L22" s="14">
        <v>5908553</v>
      </c>
      <c r="M22" s="21"/>
      <c r="N22" s="46" t="s">
        <v>69</v>
      </c>
      <c r="P22" s="39" t="s">
        <v>70</v>
      </c>
      <c r="Q22" s="14">
        <v>5261181</v>
      </c>
      <c r="R22" s="21"/>
      <c r="S22" s="84" t="s">
        <v>71</v>
      </c>
      <c r="T22" s="8"/>
      <c r="U22" s="81">
        <v>6</v>
      </c>
      <c r="Y22" s="14">
        <f>Q7</f>
        <v>5225409</v>
      </c>
      <c r="Z22" s="21"/>
      <c r="AA22" s="8" t="s">
        <v>72</v>
      </c>
      <c r="AB22" s="7">
        <v>3</v>
      </c>
    </row>
    <row r="23" spans="2:28" ht="9.9499999999999993" customHeight="1" x14ac:dyDescent="0.25">
      <c r="B23" s="90"/>
      <c r="C23" s="91"/>
      <c r="D23" s="92"/>
      <c r="E23" s="92"/>
      <c r="F23" s="90"/>
      <c r="G23" s="90"/>
      <c r="H23" s="92"/>
      <c r="I23" s="92"/>
      <c r="K23" s="89">
        <v>4</v>
      </c>
      <c r="L23" s="14">
        <v>5908554</v>
      </c>
      <c r="M23" s="21"/>
      <c r="N23" s="46" t="s">
        <v>73</v>
      </c>
      <c r="P23" s="23" t="s">
        <v>74</v>
      </c>
      <c r="Q23" s="14">
        <v>5600373</v>
      </c>
      <c r="R23" s="21"/>
      <c r="S23" s="84" t="s">
        <v>48</v>
      </c>
      <c r="T23" s="8"/>
      <c r="U23" s="81">
        <v>7</v>
      </c>
      <c r="V23" s="93">
        <f>ROUNDUP(((G25*1)/10),0)</f>
        <v>1</v>
      </c>
      <c r="X23" s="73"/>
      <c r="Y23" s="14">
        <f>R7</f>
        <v>5225410</v>
      </c>
      <c r="Z23" s="21"/>
      <c r="AA23" s="8" t="s">
        <v>72</v>
      </c>
      <c r="AB23" s="7">
        <v>3.5</v>
      </c>
    </row>
    <row r="24" spans="2:28" ht="20.100000000000001" customHeight="1" x14ac:dyDescent="0.2">
      <c r="B24" s="94" t="s">
        <v>75</v>
      </c>
      <c r="C24" s="95"/>
      <c r="D24" s="95"/>
      <c r="E24" s="95" t="s">
        <v>58</v>
      </c>
      <c r="F24" s="95"/>
      <c r="G24" s="96"/>
      <c r="H24" s="97"/>
      <c r="I24" s="98" t="s">
        <v>29</v>
      </c>
      <c r="K24" s="89">
        <v>4.5</v>
      </c>
      <c r="L24" s="14">
        <v>5908555</v>
      </c>
      <c r="M24" s="21"/>
      <c r="N24" s="46" t="s">
        <v>76</v>
      </c>
      <c r="P24" s="39" t="s">
        <v>77</v>
      </c>
      <c r="Q24" s="14">
        <v>5248358</v>
      </c>
      <c r="R24" s="21"/>
      <c r="S24" s="84" t="s">
        <v>78</v>
      </c>
      <c r="T24" s="8"/>
      <c r="U24" s="8" t="s">
        <v>19</v>
      </c>
      <c r="V24" s="93">
        <v>0</v>
      </c>
      <c r="W24" s="99"/>
      <c r="X24" s="73"/>
      <c r="Y24" s="14">
        <f>S7</f>
        <v>5225411</v>
      </c>
      <c r="Z24" s="21"/>
      <c r="AA24" s="8" t="s">
        <v>72</v>
      </c>
      <c r="AB24" s="7">
        <v>4</v>
      </c>
    </row>
    <row r="25" spans="2:28" ht="20.100000000000001" customHeight="1" x14ac:dyDescent="0.2">
      <c r="B25" s="100" t="str">
        <f>Y1</f>
        <v>Termo tagplade</v>
      </c>
      <c r="C25" s="95" t="str">
        <f>C5</f>
        <v>10 mm, 4-lags</v>
      </c>
      <c r="D25" s="95" t="str">
        <f>C6</f>
        <v>Opal</v>
      </c>
      <c r="E25" s="101">
        <f>S31</f>
        <v>3</v>
      </c>
      <c r="F25" s="95" t="s">
        <v>40</v>
      </c>
      <c r="G25" s="163">
        <f>S32</f>
        <v>1</v>
      </c>
      <c r="H25" s="102" t="s">
        <v>79</v>
      </c>
      <c r="I25" s="103">
        <f>INDEX(Q4:W9,MATCH(K7,P4:P9,0),MATCH(S31,Q3:W3,0))</f>
        <v>5225391</v>
      </c>
      <c r="K25" s="89">
        <v>5</v>
      </c>
      <c r="L25" s="14">
        <v>5908556</v>
      </c>
      <c r="M25" s="21"/>
      <c r="N25" s="46" t="s">
        <v>80</v>
      </c>
      <c r="P25" s="39" t="s">
        <v>81</v>
      </c>
      <c r="Q25" s="14">
        <v>5600376</v>
      </c>
      <c r="R25" s="21"/>
      <c r="S25" s="84" t="s">
        <v>82</v>
      </c>
      <c r="T25" s="8"/>
      <c r="U25" s="5"/>
      <c r="W25" s="99"/>
      <c r="Y25" s="39">
        <f>T7</f>
        <v>5225412</v>
      </c>
      <c r="Z25" s="21"/>
      <c r="AA25" s="8" t="s">
        <v>72</v>
      </c>
      <c r="AB25" s="7">
        <v>4.5</v>
      </c>
    </row>
    <row r="26" spans="2:28" ht="20.100000000000001" customHeight="1" x14ac:dyDescent="0.2">
      <c r="B26" s="104" t="str">
        <f>K20</f>
        <v>Samleliste hvid</v>
      </c>
      <c r="C26" s="95" t="str">
        <f>C5</f>
        <v>10 mm, 4-lags</v>
      </c>
      <c r="D26" s="95"/>
      <c r="E26" s="101">
        <f>S31</f>
        <v>3</v>
      </c>
      <c r="F26" s="95" t="s">
        <v>40</v>
      </c>
      <c r="G26" s="163">
        <f>G25+1</f>
        <v>2</v>
      </c>
      <c r="H26" s="102" t="s">
        <v>79</v>
      </c>
      <c r="I26" s="103">
        <f>INDEX(Q4:W11,MATCH(B26,P4:P11,0),MATCH(S31,Q3:W3,0))</f>
        <v>5908552</v>
      </c>
      <c r="J26" s="105"/>
      <c r="K26" s="89">
        <v>6</v>
      </c>
      <c r="L26" s="14">
        <v>5908557</v>
      </c>
      <c r="M26" s="21"/>
      <c r="N26" s="46" t="s">
        <v>83</v>
      </c>
      <c r="P26" s="39" t="s">
        <v>84</v>
      </c>
      <c r="Q26" s="14">
        <v>5660651</v>
      </c>
      <c r="R26" s="21"/>
      <c r="S26" s="84" t="s">
        <v>82</v>
      </c>
      <c r="T26" s="8"/>
      <c r="U26" s="5"/>
      <c r="W26" s="99"/>
      <c r="Y26" s="14">
        <f>U7</f>
        <v>5225413</v>
      </c>
      <c r="Z26" s="21"/>
      <c r="AA26" s="8" t="s">
        <v>72</v>
      </c>
      <c r="AB26" s="7">
        <v>5</v>
      </c>
    </row>
    <row r="27" spans="2:28" ht="20.100000000000001" customHeight="1" x14ac:dyDescent="0.2">
      <c r="B27" s="104" t="str">
        <f>K15</f>
        <v>Afstandsliste</v>
      </c>
      <c r="C27" s="106" t="str">
        <f>VLOOKUP($C$5,K16:N18,4)</f>
        <v>10 mm</v>
      </c>
      <c r="D27" s="106"/>
      <c r="E27" s="106" t="str">
        <f>VLOOKUP($C$5,K16:O18,5)</f>
        <v>3,05 m</v>
      </c>
      <c r="F27" s="95"/>
      <c r="G27" s="163">
        <f>ROUNDUP(((E26*2)/3.05),0)</f>
        <v>2</v>
      </c>
      <c r="H27" s="102" t="s">
        <v>79</v>
      </c>
      <c r="I27" s="103">
        <f>VLOOKUP(C5,K16:M18,2)</f>
        <v>5600364</v>
      </c>
      <c r="L27" s="107" t="s">
        <v>19</v>
      </c>
      <c r="M27" s="74">
        <v>0</v>
      </c>
      <c r="P27" s="39" t="s">
        <v>85</v>
      </c>
      <c r="Q27" s="108" t="s">
        <v>86</v>
      </c>
      <c r="R27" s="21"/>
      <c r="S27" s="85"/>
      <c r="T27" s="8"/>
      <c r="U27" s="5"/>
      <c r="V27" s="93">
        <f>IF(C14&lt;=5,1,IF(C14&lt;=10,2,IF(C14&lt;=15,3,IF(C14&lt;=20,4,IF(C14&lt;=25,5,IF(C14&lt;=30,6,IF(C14&lt;=35,7,IF(C14&lt;=40,8,IF(C14&lt;=45,9,IF(C14&lt;=50,10,IF(C14&lt;=55,11,IF(C14&lt;=60,12,IF(C14&lt;=65,13)))))))))))))</f>
        <v>1</v>
      </c>
      <c r="W27" s="99"/>
      <c r="Y27" s="109">
        <f>V7</f>
        <v>5225414</v>
      </c>
      <c r="Z27" s="21"/>
      <c r="AA27" s="8" t="s">
        <v>72</v>
      </c>
      <c r="AB27" s="7">
        <v>6</v>
      </c>
    </row>
    <row r="28" spans="2:28" ht="20.100000000000001" customHeight="1" x14ac:dyDescent="0.2">
      <c r="B28" s="104" t="str">
        <f>K9</f>
        <v>Vandnæse hvid</v>
      </c>
      <c r="C28" s="106" t="str">
        <f>VLOOKUP($C$5,K11:N13,4)</f>
        <v>10 mm</v>
      </c>
      <c r="D28" s="106"/>
      <c r="E28" s="106" t="str">
        <f>VLOOKUP($C$5,K11:O13,5)</f>
        <v>2,1 m</v>
      </c>
      <c r="F28" s="95"/>
      <c r="G28" s="163">
        <f>ROUNDUP(((G25*1.05)/2.1),0)</f>
        <v>1</v>
      </c>
      <c r="H28" s="102" t="s">
        <v>79</v>
      </c>
      <c r="I28" s="103">
        <f>VLOOKUP(C5,K11:L13,2)</f>
        <v>5908572</v>
      </c>
      <c r="K28" s="110"/>
      <c r="L28" s="111"/>
      <c r="M28" s="112"/>
      <c r="P28" s="39" t="s">
        <v>87</v>
      </c>
      <c r="Q28" s="108">
        <v>1444354</v>
      </c>
      <c r="R28" s="21"/>
      <c r="S28" s="85"/>
      <c r="T28" s="8"/>
      <c r="U28" s="5"/>
      <c r="V28" s="93">
        <v>0</v>
      </c>
      <c r="W28" s="99"/>
      <c r="Y28" s="109">
        <f>Q8</f>
        <v>1469665</v>
      </c>
      <c r="Z28" s="21"/>
      <c r="AA28" s="8" t="s">
        <v>88</v>
      </c>
      <c r="AB28" s="7">
        <v>3</v>
      </c>
    </row>
    <row r="29" spans="2:28" ht="20.100000000000001" customHeight="1" x14ac:dyDescent="0.2">
      <c r="B29" s="113" t="str">
        <f>K29</f>
        <v>Endekap hvid</v>
      </c>
      <c r="C29" s="106" t="str">
        <f>VLOOKUP($C$5,K30:N32,4)</f>
        <v>10 mm</v>
      </c>
      <c r="D29" s="106"/>
      <c r="E29" s="106"/>
      <c r="F29" s="114"/>
      <c r="G29" s="163">
        <f>G26</f>
        <v>2</v>
      </c>
      <c r="H29" s="102" t="s">
        <v>79</v>
      </c>
      <c r="I29" s="103">
        <f>VLOOKUP(C5,K30:L32,2)</f>
        <v>5600368</v>
      </c>
      <c r="K29" s="14" t="s">
        <v>89</v>
      </c>
      <c r="L29" s="17" t="s">
        <v>29</v>
      </c>
      <c r="M29" s="17" t="s">
        <v>5</v>
      </c>
      <c r="Q29" s="115"/>
      <c r="T29" s="8"/>
      <c r="U29" s="5"/>
      <c r="W29" s="99"/>
      <c r="Y29" s="109">
        <f>R8</f>
        <v>1469667</v>
      </c>
      <c r="Z29" s="21"/>
      <c r="AA29" s="8" t="s">
        <v>88</v>
      </c>
      <c r="AB29" s="7">
        <v>3.5</v>
      </c>
    </row>
    <row r="30" spans="2:28" ht="20.100000000000001" customHeight="1" x14ac:dyDescent="0.2">
      <c r="B30" s="104" t="str">
        <f>K34</f>
        <v>Toptape u/ vent.</v>
      </c>
      <c r="C30" s="106" t="str">
        <f>VLOOKUP($C$5,K35:N37,4)</f>
        <v>38 mm</v>
      </c>
      <c r="D30" s="106"/>
      <c r="E30" s="106" t="str">
        <f>VLOOKUP($C$5,K35:O37,5)</f>
        <v>10,0 m</v>
      </c>
      <c r="F30" s="95"/>
      <c r="G30" s="163">
        <f>ROUNDUP(((G25*1)/8),0)</f>
        <v>1</v>
      </c>
      <c r="H30" s="102" t="s">
        <v>90</v>
      </c>
      <c r="I30" s="103">
        <f>VLOOKUP(C5,K35:L37,2)</f>
        <v>5600369</v>
      </c>
      <c r="K30" s="14" t="str">
        <f>K4</f>
        <v>10 mm, 4-lags</v>
      </c>
      <c r="L30" s="14">
        <v>5600368</v>
      </c>
      <c r="M30" s="21"/>
      <c r="N30" s="46" t="s">
        <v>32</v>
      </c>
      <c r="O30" s="47"/>
      <c r="P30" s="116"/>
      <c r="Q30" s="117"/>
      <c r="S30" s="80"/>
      <c r="T30" s="47"/>
      <c r="U30" s="39" t="s">
        <v>25</v>
      </c>
      <c r="W30" s="99"/>
      <c r="Y30" s="41">
        <f>S8</f>
        <v>1469669</v>
      </c>
      <c r="Z30" s="21"/>
      <c r="AA30" s="8" t="s">
        <v>88</v>
      </c>
      <c r="AB30" s="7">
        <v>4</v>
      </c>
    </row>
    <row r="31" spans="2:28" ht="20.100000000000001" customHeight="1" x14ac:dyDescent="0.2">
      <c r="B31" s="104" t="str">
        <f>P13</f>
        <v>Ventilationstape</v>
      </c>
      <c r="C31" s="106" t="str">
        <f>VLOOKUP($C$5,P14:S16,4)</f>
        <v>38 mm</v>
      </c>
      <c r="D31" s="118"/>
      <c r="E31" s="106" t="str">
        <f>VLOOKUP($C$5,P14:T16,5)</f>
        <v>10,0 m</v>
      </c>
      <c r="F31" s="95"/>
      <c r="G31" s="163">
        <f>ROUNDUP(((G25*1)/8),0)</f>
        <v>1</v>
      </c>
      <c r="H31" s="102" t="s">
        <v>90</v>
      </c>
      <c r="I31" s="103">
        <f>VLOOKUP(C5,P14:Q16,2)</f>
        <v>5908576</v>
      </c>
      <c r="K31" s="14" t="str">
        <f>K5</f>
        <v>16 mm, 7-lags</v>
      </c>
      <c r="L31" s="14">
        <v>5600368</v>
      </c>
      <c r="M31" s="21"/>
      <c r="N31" s="46" t="s">
        <v>39</v>
      </c>
      <c r="O31" s="47"/>
      <c r="P31" s="116"/>
      <c r="Q31" s="119"/>
      <c r="R31" s="120" t="s">
        <v>53</v>
      </c>
      <c r="S31" s="121">
        <f>IF(D14&lt;=3,U17,IF(D14&lt;=3.5,U18,IF(D14&lt;=4,U19,IF(D14&lt;=4.5,U20,IF(D14&lt;=5,U21,IF(D14&lt;=6,U22,IF(D14&gt;6,U24)))))))</f>
        <v>3</v>
      </c>
      <c r="T31" s="47"/>
      <c r="U31" s="14" t="s">
        <v>44</v>
      </c>
      <c r="V31" s="93">
        <f>G25+1</f>
        <v>2</v>
      </c>
      <c r="W31" s="99"/>
      <c r="Y31" s="14">
        <f>T8</f>
        <v>1469670</v>
      </c>
      <c r="Z31" s="21"/>
      <c r="AA31" s="8" t="s">
        <v>88</v>
      </c>
      <c r="AB31" s="7">
        <v>4.5</v>
      </c>
    </row>
    <row r="32" spans="2:28" ht="20.100000000000001" customHeight="1" x14ac:dyDescent="0.2">
      <c r="B32" s="104" t="str">
        <f t="shared" ref="B32:B38" si="0">P19</f>
        <v>Ekspansionsbånd</v>
      </c>
      <c r="C32" s="95"/>
      <c r="D32" s="95"/>
      <c r="E32" s="106" t="str">
        <f>HLOOKUP(B32,$P$19:$S$27,1)</f>
        <v>8,0 m</v>
      </c>
      <c r="F32" s="95"/>
      <c r="G32" s="163">
        <f>ROUNDUP(((G25*1)/8),0)</f>
        <v>1</v>
      </c>
      <c r="H32" s="102" t="s">
        <v>90</v>
      </c>
      <c r="I32" s="122">
        <f t="shared" ref="I32:I38" si="1">INDEX($P$19:$Q$27,MATCH(B32,$P$19:$P$27,0),MATCH($I$24,$P$18:$Q$18,0))</f>
        <v>5600370</v>
      </c>
      <c r="K32" s="14" t="str">
        <f>K6</f>
        <v>25 mm, 7-lags</v>
      </c>
      <c r="L32" s="14">
        <v>1469956</v>
      </c>
      <c r="M32" s="21"/>
      <c r="N32" s="46" t="s">
        <v>42</v>
      </c>
      <c r="O32" s="47"/>
      <c r="P32" s="116"/>
      <c r="Q32" s="119"/>
      <c r="R32" s="120" t="s">
        <v>91</v>
      </c>
      <c r="S32" s="121">
        <f>ROUNDUP((C14/1.07)-0.06,0)</f>
        <v>1</v>
      </c>
      <c r="T32" s="47"/>
      <c r="U32" s="14" t="s">
        <v>26</v>
      </c>
      <c r="V32" s="93">
        <v>0</v>
      </c>
      <c r="W32" s="99"/>
      <c r="Y32" s="14" t="str">
        <f>U8</f>
        <v>Ikke Lager</v>
      </c>
      <c r="Z32" s="21"/>
      <c r="AA32" s="8" t="s">
        <v>88</v>
      </c>
      <c r="AB32" s="7">
        <v>5</v>
      </c>
    </row>
    <row r="33" spans="1:1024" ht="20.100000000000001" customHeight="1" x14ac:dyDescent="0.2">
      <c r="B33" s="104" t="str">
        <f t="shared" si="0"/>
        <v>Silicone klar</v>
      </c>
      <c r="C33" s="95"/>
      <c r="D33" s="95"/>
      <c r="E33" s="106" t="str">
        <f>HLOOKUP(B33,$P$19:$S$27,2)</f>
        <v>300 ml</v>
      </c>
      <c r="F33" s="95"/>
      <c r="G33" s="163">
        <f>V27</f>
        <v>1</v>
      </c>
      <c r="H33" s="102" t="s">
        <v>79</v>
      </c>
      <c r="I33" s="122">
        <f t="shared" si="1"/>
        <v>5600371</v>
      </c>
      <c r="K33" s="112"/>
      <c r="M33" s="99"/>
      <c r="P33" s="116"/>
      <c r="Q33" s="119"/>
      <c r="R33" s="116"/>
      <c r="S33" s="80"/>
      <c r="T33" s="47"/>
      <c r="W33" s="99"/>
      <c r="Y33" s="14" t="str">
        <f>V8</f>
        <v>Ikke Lager</v>
      </c>
      <c r="Z33" s="21"/>
      <c r="AA33" s="8" t="s">
        <v>88</v>
      </c>
      <c r="AB33" s="7">
        <v>6</v>
      </c>
    </row>
    <row r="34" spans="1:1024" ht="20.100000000000001" customHeight="1" x14ac:dyDescent="0.2">
      <c r="B34" s="104" t="str">
        <f t="shared" si="0"/>
        <v>Selvborende skrue til alu. Bundskinne</v>
      </c>
      <c r="C34" s="95"/>
      <c r="D34" s="95"/>
      <c r="E34" s="123" t="str">
        <f>HLOOKUP(B34,$P$19:$S$27,3)</f>
        <v>50 stk./ps.</v>
      </c>
      <c r="F34" s="124"/>
      <c r="G34" s="163">
        <f>ROUNDUP((((G26*E26)/0.25)/50),0)</f>
        <v>1</v>
      </c>
      <c r="H34" s="102" t="s">
        <v>92</v>
      </c>
      <c r="I34" s="122">
        <f t="shared" si="1"/>
        <v>5600372</v>
      </c>
      <c r="K34" s="23" t="s">
        <v>93</v>
      </c>
      <c r="L34" s="17" t="s">
        <v>29</v>
      </c>
      <c r="M34" s="125" t="s">
        <v>5</v>
      </c>
      <c r="N34" s="126"/>
      <c r="O34" s="127"/>
      <c r="P34" s="116"/>
      <c r="Q34" s="119"/>
      <c r="R34" s="116"/>
      <c r="S34" s="80"/>
      <c r="T34" s="47"/>
      <c r="U34" s="14" t="s">
        <v>94</v>
      </c>
      <c r="W34" s="99"/>
      <c r="Y34" s="14" t="str">
        <f>W4</f>
        <v>Ikke Lager</v>
      </c>
      <c r="Z34" s="21"/>
      <c r="AA34" s="8" t="s">
        <v>11</v>
      </c>
      <c r="AB34" s="7">
        <v>7</v>
      </c>
    </row>
    <row r="35" spans="1:1024" ht="20.100000000000001" customHeight="1" x14ac:dyDescent="0.2">
      <c r="B35" s="104" t="str">
        <f t="shared" si="0"/>
        <v>Sikringsskrue til termotag</v>
      </c>
      <c r="C35" s="128"/>
      <c r="D35" s="118"/>
      <c r="E35" s="106" t="str">
        <f>HLOOKUP(B35,$P$19:$S$27,4)</f>
        <v>10 stk./ps.</v>
      </c>
      <c r="F35" s="118"/>
      <c r="G35" s="164">
        <f>IF(C8="ja",V46,V47)</f>
        <v>1</v>
      </c>
      <c r="H35" s="129" t="s">
        <v>92</v>
      </c>
      <c r="I35" s="130">
        <f t="shared" si="1"/>
        <v>5261181</v>
      </c>
      <c r="K35" s="14" t="str">
        <f>K4</f>
        <v>10 mm, 4-lags</v>
      </c>
      <c r="L35" s="131">
        <v>5600369</v>
      </c>
      <c r="M35" s="21"/>
      <c r="N35" s="46" t="s">
        <v>47</v>
      </c>
      <c r="O35" s="5" t="s">
        <v>48</v>
      </c>
      <c r="P35" s="116"/>
      <c r="Q35" s="119"/>
      <c r="R35" s="116"/>
      <c r="S35" s="80"/>
      <c r="T35" s="47"/>
      <c r="U35" s="14" t="s">
        <v>44</v>
      </c>
      <c r="W35" s="99"/>
      <c r="Y35" s="14" t="str">
        <f>W6</f>
        <v>Ikke Lager</v>
      </c>
      <c r="Z35" s="21"/>
      <c r="AA35" s="8" t="s">
        <v>54</v>
      </c>
      <c r="AB35" s="7">
        <v>7</v>
      </c>
    </row>
    <row r="36" spans="1:1024" ht="20.100000000000001" customHeight="1" x14ac:dyDescent="0.2">
      <c r="B36" s="104" t="str">
        <f t="shared" si="0"/>
        <v>Inddækningsgummi 250 mm</v>
      </c>
      <c r="C36" s="101"/>
      <c r="D36" s="132"/>
      <c r="E36" s="106" t="str">
        <f>HLOOKUP(B36,$P$19:$S$27,5)</f>
        <v>10,0 m</v>
      </c>
      <c r="F36" s="132"/>
      <c r="G36" s="164">
        <f>IF(C7="ja",V23,V24)</f>
        <v>1</v>
      </c>
      <c r="H36" s="133" t="s">
        <v>79</v>
      </c>
      <c r="I36" s="122">
        <f t="shared" si="1"/>
        <v>5600373</v>
      </c>
      <c r="K36" s="14" t="str">
        <f>K5</f>
        <v>16 mm, 7-lags</v>
      </c>
      <c r="L36" s="68">
        <v>5600369</v>
      </c>
      <c r="M36" s="21"/>
      <c r="N36" s="46" t="s">
        <v>47</v>
      </c>
      <c r="O36" s="5" t="s">
        <v>48</v>
      </c>
      <c r="P36" s="116"/>
      <c r="Q36" s="119"/>
      <c r="R36" s="116"/>
      <c r="S36" s="80"/>
      <c r="T36" s="47"/>
      <c r="U36" s="14" t="s">
        <v>26</v>
      </c>
      <c r="W36" s="99"/>
      <c r="Y36" s="134" t="s">
        <v>19</v>
      </c>
      <c r="Z36" s="135">
        <v>0</v>
      </c>
    </row>
    <row r="37" spans="1:1024" ht="20.100000000000001" customHeight="1" x14ac:dyDescent="0.2">
      <c r="B37" s="104" t="str">
        <f t="shared" si="0"/>
        <v>Montagefuge</v>
      </c>
      <c r="C37" s="101"/>
      <c r="D37" s="132"/>
      <c r="E37" s="106" t="str">
        <f>HLOOKUP(B37,$P$19:$S$27,6)</f>
        <v>310 ml</v>
      </c>
      <c r="F37" s="132"/>
      <c r="G37" s="163">
        <f>IF(C7="ja",V27,V28)</f>
        <v>1</v>
      </c>
      <c r="H37" s="102" t="s">
        <v>79</v>
      </c>
      <c r="I37" s="122">
        <f t="shared" si="1"/>
        <v>5248358</v>
      </c>
      <c r="K37" s="14" t="str">
        <f>K6</f>
        <v>25 mm, 7-lags</v>
      </c>
      <c r="L37" s="136">
        <v>1469967</v>
      </c>
      <c r="M37" s="21"/>
      <c r="N37" s="46" t="s">
        <v>52</v>
      </c>
      <c r="O37" s="5" t="s">
        <v>48</v>
      </c>
      <c r="P37" s="116"/>
      <c r="Q37" s="119"/>
      <c r="R37" s="116"/>
      <c r="S37" s="80"/>
      <c r="T37" s="111"/>
      <c r="W37" s="99"/>
    </row>
    <row r="38" spans="1:1024" ht="20.100000000000001" customHeight="1" x14ac:dyDescent="0.2">
      <c r="B38" s="104" t="str">
        <f t="shared" si="0"/>
        <v>Fugeskinne</v>
      </c>
      <c r="C38" s="101"/>
      <c r="D38" s="132"/>
      <c r="E38" s="106" t="str">
        <f>HLOOKUP(B38,$P$19:$S$27,7)</f>
        <v>1,0 m</v>
      </c>
      <c r="F38" s="132"/>
      <c r="G38" s="163">
        <f>IF(C7="ja",V31,V32)</f>
        <v>2</v>
      </c>
      <c r="H38" s="102" t="s">
        <v>79</v>
      </c>
      <c r="I38" s="122">
        <f t="shared" si="1"/>
        <v>5600376</v>
      </c>
      <c r="Q38" s="119"/>
      <c r="R38" s="119"/>
      <c r="S38" s="80"/>
      <c r="T38" s="137"/>
      <c r="U38" s="14" t="s">
        <v>81</v>
      </c>
      <c r="W38" s="99"/>
    </row>
    <row r="39" spans="1:1024" ht="20.100000000000001" customHeight="1" x14ac:dyDescent="0.2">
      <c r="B39" s="104" t="s">
        <v>84</v>
      </c>
      <c r="C39" s="101"/>
      <c r="D39" s="132"/>
      <c r="E39" s="138"/>
      <c r="F39" s="132"/>
      <c r="G39" s="163">
        <v>0</v>
      </c>
      <c r="H39" s="102" t="s">
        <v>79</v>
      </c>
      <c r="I39" s="122">
        <f>Q26</f>
        <v>5660651</v>
      </c>
      <c r="K39" s="139"/>
      <c r="Q39" s="119"/>
      <c r="R39" s="119"/>
      <c r="S39" s="80"/>
      <c r="T39" s="47"/>
      <c r="U39" s="14" t="s">
        <v>44</v>
      </c>
    </row>
    <row r="40" spans="1:1024" ht="20.100000000000001" customHeight="1" x14ac:dyDescent="0.2">
      <c r="B40" s="104" t="s">
        <v>87</v>
      </c>
      <c r="C40" s="101"/>
      <c r="D40" s="132"/>
      <c r="E40" s="138" t="s">
        <v>95</v>
      </c>
      <c r="F40" s="132"/>
      <c r="G40" s="164">
        <v>0</v>
      </c>
      <c r="H40" s="133" t="s">
        <v>79</v>
      </c>
      <c r="I40" s="122">
        <f>Q28</f>
        <v>1444354</v>
      </c>
      <c r="K40" s="139"/>
      <c r="Q40" s="119"/>
      <c r="R40" s="119"/>
      <c r="S40" s="80"/>
      <c r="T40" s="47"/>
      <c r="U40" s="14"/>
    </row>
    <row r="41" spans="1:1024" ht="20.100000000000001" customHeight="1" x14ac:dyDescent="0.2">
      <c r="B41" s="104" t="str">
        <f>P27</f>
        <v>Emballage</v>
      </c>
      <c r="C41" s="101"/>
      <c r="D41" s="132"/>
      <c r="E41" s="138"/>
      <c r="F41" s="132"/>
      <c r="G41" s="163">
        <v>1</v>
      </c>
      <c r="H41" s="102" t="s">
        <v>79</v>
      </c>
      <c r="I41" s="122" t="str">
        <f>INDEX($P$19:$Q$27,MATCH(B41,$P$19:$P$27,0),MATCH($I$24,$P$18:$Q$18,0))</f>
        <v>91 0002</v>
      </c>
      <c r="K41" s="139"/>
      <c r="Q41" s="119"/>
      <c r="R41" s="119"/>
      <c r="S41" s="80"/>
      <c r="T41" s="47"/>
      <c r="U41" s="14"/>
    </row>
    <row r="42" spans="1:1024" ht="20.100000000000001" customHeight="1" x14ac:dyDescent="0.2">
      <c r="A42" s="116"/>
      <c r="B42" s="104" t="s">
        <v>103</v>
      </c>
      <c r="C42" s="140"/>
      <c r="D42" s="132"/>
      <c r="E42" s="138"/>
      <c r="F42" s="132"/>
      <c r="G42" s="163">
        <f>IF(C9="ja",V50,V51)</f>
        <v>1</v>
      </c>
      <c r="H42" s="102" t="s">
        <v>79</v>
      </c>
      <c r="I42" s="130">
        <v>910009</v>
      </c>
      <c r="J42" s="116"/>
      <c r="K42" s="139"/>
      <c r="L42" s="116"/>
      <c r="M42" s="116"/>
      <c r="N42" s="116"/>
      <c r="O42" s="116"/>
      <c r="P42" s="116"/>
      <c r="Q42" s="119"/>
      <c r="R42" s="119"/>
      <c r="S42" s="80"/>
      <c r="T42" s="137"/>
      <c r="U42" s="14"/>
      <c r="V42" s="116"/>
      <c r="W42" s="116"/>
      <c r="X42" s="116"/>
      <c r="Y42" s="116"/>
      <c r="Z42" s="116"/>
      <c r="AA42" s="116"/>
      <c r="AB42" s="141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  <c r="AAX42" s="116"/>
      <c r="AAY42" s="116"/>
      <c r="AAZ42" s="116"/>
      <c r="ABA42" s="116"/>
      <c r="ABB42" s="116"/>
      <c r="ABC42" s="116"/>
      <c r="ABD42" s="116"/>
      <c r="ABE42" s="116"/>
      <c r="ABF42" s="116"/>
      <c r="ABG42" s="116"/>
      <c r="ABH42" s="116"/>
      <c r="ABI42" s="116"/>
      <c r="ABJ42" s="116"/>
      <c r="ABK42" s="116"/>
      <c r="ABL42" s="116"/>
      <c r="ABM42" s="116"/>
      <c r="ABN42" s="116"/>
      <c r="ABO42" s="116"/>
      <c r="ABP42" s="116"/>
      <c r="ABQ42" s="116"/>
      <c r="ABR42" s="116"/>
      <c r="ABS42" s="116"/>
      <c r="ABT42" s="116"/>
      <c r="ABU42" s="116"/>
      <c r="ABV42" s="116"/>
      <c r="ABW42" s="116"/>
      <c r="ABX42" s="116"/>
      <c r="ABY42" s="116"/>
      <c r="ABZ42" s="116"/>
      <c r="ACA42" s="116"/>
      <c r="ACB42" s="116"/>
      <c r="ACC42" s="116"/>
      <c r="ACD42" s="116"/>
      <c r="ACE42" s="116"/>
      <c r="ACF42" s="116"/>
      <c r="ACG42" s="116"/>
      <c r="ACH42" s="116"/>
      <c r="ACI42" s="116"/>
      <c r="ACJ42" s="116"/>
      <c r="ACK42" s="116"/>
      <c r="ACL42" s="116"/>
      <c r="ACM42" s="116"/>
      <c r="ACN42" s="116"/>
      <c r="ACO42" s="116"/>
      <c r="ACP42" s="116"/>
      <c r="ACQ42" s="116"/>
      <c r="ACR42" s="116"/>
      <c r="ACS42" s="116"/>
      <c r="ACT42" s="116"/>
      <c r="ACU42" s="116"/>
      <c r="ACV42" s="116"/>
      <c r="ACW42" s="116"/>
      <c r="ACX42" s="116"/>
      <c r="ACY42" s="116"/>
      <c r="ACZ42" s="116"/>
      <c r="ADA42" s="116"/>
      <c r="ADB42" s="116"/>
      <c r="ADC42" s="116"/>
      <c r="ADD42" s="116"/>
      <c r="ADE42" s="116"/>
      <c r="ADF42" s="116"/>
      <c r="ADG42" s="116"/>
      <c r="ADH42" s="116"/>
      <c r="ADI42" s="116"/>
      <c r="ADJ42" s="116"/>
      <c r="ADK42" s="116"/>
      <c r="ADL42" s="116"/>
      <c r="ADM42" s="116"/>
      <c r="ADN42" s="116"/>
      <c r="ADO42" s="116"/>
      <c r="ADP42" s="116"/>
      <c r="ADQ42" s="116"/>
      <c r="ADR42" s="116"/>
      <c r="ADS42" s="116"/>
      <c r="ADT42" s="116"/>
      <c r="ADU42" s="116"/>
      <c r="ADV42" s="116"/>
      <c r="ADW42" s="116"/>
      <c r="ADX42" s="116"/>
      <c r="ADY42" s="116"/>
      <c r="ADZ42" s="116"/>
      <c r="AEA42" s="116"/>
      <c r="AEB42" s="116"/>
      <c r="AEC42" s="116"/>
      <c r="AED42" s="116"/>
      <c r="AEE42" s="116"/>
      <c r="AEF42" s="116"/>
      <c r="AEG42" s="116"/>
      <c r="AEH42" s="116"/>
      <c r="AEI42" s="116"/>
      <c r="AEJ42" s="116"/>
      <c r="AEK42" s="116"/>
      <c r="AEL42" s="116"/>
      <c r="AEM42" s="116"/>
      <c r="AEN42" s="116"/>
      <c r="AEO42" s="116"/>
      <c r="AEP42" s="116"/>
      <c r="AEQ42" s="116"/>
      <c r="AER42" s="116"/>
      <c r="AES42" s="116"/>
      <c r="AET42" s="116"/>
      <c r="AEU42" s="116"/>
      <c r="AEV42" s="116"/>
      <c r="AEW42" s="116"/>
      <c r="AEX42" s="116"/>
      <c r="AEY42" s="116"/>
      <c r="AEZ42" s="116"/>
      <c r="AFA42" s="116"/>
      <c r="AFB42" s="116"/>
      <c r="AFC42" s="116"/>
      <c r="AFD42" s="116"/>
      <c r="AFE42" s="116"/>
      <c r="AFF42" s="116"/>
      <c r="AFG42" s="116"/>
      <c r="AFH42" s="116"/>
      <c r="AFI42" s="116"/>
      <c r="AFJ42" s="116"/>
      <c r="AFK42" s="116"/>
      <c r="AFL42" s="116"/>
      <c r="AFM42" s="116"/>
      <c r="AFN42" s="116"/>
      <c r="AFO42" s="116"/>
      <c r="AFP42" s="116"/>
      <c r="AFQ42" s="116"/>
      <c r="AFR42" s="116"/>
      <c r="AFS42" s="116"/>
      <c r="AFT42" s="116"/>
      <c r="AFU42" s="116"/>
      <c r="AFV42" s="116"/>
      <c r="AFW42" s="116"/>
      <c r="AFX42" s="116"/>
      <c r="AFY42" s="116"/>
      <c r="AFZ42" s="116"/>
      <c r="AGA42" s="116"/>
      <c r="AGB42" s="116"/>
      <c r="AGC42" s="116"/>
      <c r="AGD42" s="116"/>
      <c r="AGE42" s="116"/>
      <c r="AGF42" s="116"/>
      <c r="AGG42" s="116"/>
      <c r="AGH42" s="116"/>
      <c r="AGI42" s="116"/>
      <c r="AGJ42" s="116"/>
      <c r="AGK42" s="116"/>
      <c r="AGL42" s="116"/>
      <c r="AGM42" s="116"/>
      <c r="AGN42" s="116"/>
      <c r="AGO42" s="116"/>
      <c r="AGP42" s="116"/>
      <c r="AGQ42" s="116"/>
      <c r="AGR42" s="116"/>
      <c r="AGS42" s="116"/>
      <c r="AGT42" s="116"/>
      <c r="AGU42" s="116"/>
      <c r="AGV42" s="116"/>
      <c r="AGW42" s="116"/>
      <c r="AGX42" s="116"/>
      <c r="AGY42" s="116"/>
      <c r="AGZ42" s="116"/>
      <c r="AHA42" s="116"/>
      <c r="AHB42" s="116"/>
      <c r="AHC42" s="116"/>
      <c r="AHD42" s="116"/>
      <c r="AHE42" s="116"/>
      <c r="AHF42" s="116"/>
      <c r="AHG42" s="116"/>
      <c r="AHH42" s="116"/>
      <c r="AHI42" s="116"/>
      <c r="AHJ42" s="116"/>
      <c r="AHK42" s="116"/>
      <c r="AHL42" s="116"/>
      <c r="AHM42" s="116"/>
      <c r="AHN42" s="116"/>
      <c r="AHO42" s="116"/>
      <c r="AHP42" s="116"/>
      <c r="AHQ42" s="116"/>
      <c r="AHR42" s="116"/>
      <c r="AHS42" s="116"/>
      <c r="AHT42" s="116"/>
      <c r="AHU42" s="116"/>
      <c r="AHV42" s="116"/>
      <c r="AHW42" s="116"/>
      <c r="AHX42" s="116"/>
      <c r="AHY42" s="116"/>
      <c r="AHZ42" s="116"/>
      <c r="AIA42" s="116"/>
      <c r="AIB42" s="116"/>
      <c r="AIC42" s="116"/>
      <c r="AID42" s="116"/>
      <c r="AIE42" s="116"/>
      <c r="AIF42" s="116"/>
      <c r="AIG42" s="116"/>
      <c r="AIH42" s="116"/>
      <c r="AII42" s="116"/>
      <c r="AIJ42" s="116"/>
      <c r="AIK42" s="116"/>
      <c r="AIL42" s="116"/>
      <c r="AIM42" s="116"/>
      <c r="AIN42" s="116"/>
      <c r="AIO42" s="116"/>
      <c r="AIP42" s="116"/>
      <c r="AIQ42" s="116"/>
      <c r="AIR42" s="116"/>
      <c r="AIS42" s="116"/>
      <c r="AIT42" s="116"/>
      <c r="AIU42" s="116"/>
      <c r="AIV42" s="116"/>
      <c r="AIW42" s="116"/>
      <c r="AIX42" s="116"/>
      <c r="AIY42" s="116"/>
      <c r="AIZ42" s="116"/>
      <c r="AJA42" s="116"/>
      <c r="AJB42" s="116"/>
      <c r="AJC42" s="116"/>
      <c r="AJD42" s="116"/>
      <c r="AJE42" s="116"/>
      <c r="AJF42" s="116"/>
      <c r="AJG42" s="116"/>
      <c r="AJH42" s="116"/>
      <c r="AJI42" s="116"/>
      <c r="AJJ42" s="116"/>
      <c r="AJK42" s="116"/>
      <c r="AJL42" s="116"/>
      <c r="AJM42" s="116"/>
      <c r="AJN42" s="116"/>
      <c r="AJO42" s="116"/>
      <c r="AJP42" s="116"/>
      <c r="AJQ42" s="116"/>
      <c r="AJR42" s="116"/>
      <c r="AJS42" s="116"/>
      <c r="AJT42" s="116"/>
      <c r="AJU42" s="116"/>
      <c r="AJV42" s="116"/>
      <c r="AJW42" s="116"/>
      <c r="AJX42" s="116"/>
      <c r="AJY42" s="116"/>
      <c r="AJZ42" s="116"/>
      <c r="AKA42" s="116"/>
      <c r="AKB42" s="116"/>
      <c r="AKC42" s="116"/>
      <c r="AKD42" s="116"/>
      <c r="AKE42" s="116"/>
      <c r="AKF42" s="116"/>
      <c r="AKG42" s="116"/>
      <c r="AKH42" s="116"/>
      <c r="AKI42" s="116"/>
      <c r="AKJ42" s="116"/>
      <c r="AKK42" s="116"/>
      <c r="AKL42" s="116"/>
      <c r="AKM42" s="116"/>
      <c r="AKN42" s="116"/>
      <c r="AKO42" s="116"/>
      <c r="AKP42" s="116"/>
      <c r="AKQ42" s="116"/>
      <c r="AKR42" s="116"/>
      <c r="AKS42" s="116"/>
      <c r="AKT42" s="116"/>
      <c r="AKU42" s="116"/>
      <c r="AKV42" s="116"/>
      <c r="AKW42" s="116"/>
      <c r="AKX42" s="116"/>
      <c r="AKY42" s="116"/>
      <c r="AKZ42" s="116"/>
      <c r="ALA42" s="116"/>
      <c r="ALB42" s="116"/>
      <c r="ALC42" s="116"/>
      <c r="ALD42" s="116"/>
      <c r="ALE42" s="116"/>
      <c r="ALF42" s="116"/>
      <c r="ALG42" s="116"/>
      <c r="ALH42" s="116"/>
      <c r="ALI42" s="116"/>
      <c r="ALJ42" s="116"/>
      <c r="ALK42" s="116"/>
      <c r="ALL42" s="116"/>
      <c r="ALM42" s="116"/>
      <c r="ALN42" s="116"/>
      <c r="ALO42" s="116"/>
      <c r="ALP42" s="116"/>
      <c r="ALQ42" s="116"/>
      <c r="ALR42" s="116"/>
      <c r="ALS42" s="116"/>
      <c r="ALT42" s="116"/>
      <c r="ALU42" s="116"/>
      <c r="ALV42" s="116"/>
      <c r="ALW42" s="116"/>
      <c r="ALX42" s="116"/>
      <c r="ALY42" s="116"/>
      <c r="ALZ42" s="116"/>
      <c r="AMA42" s="116"/>
      <c r="AMB42" s="116"/>
      <c r="AMC42" s="116"/>
      <c r="AMD42" s="116"/>
      <c r="AME42" s="116"/>
      <c r="AMF42" s="116"/>
      <c r="AMG42" s="116"/>
      <c r="AMH42" s="116"/>
      <c r="AMI42" s="116"/>
      <c r="AMJ42" s="116"/>
    </row>
    <row r="43" spans="1:1024" ht="20.100000000000001" customHeight="1" x14ac:dyDescent="0.2">
      <c r="B43" s="94" t="s">
        <v>96</v>
      </c>
      <c r="C43" s="140"/>
      <c r="D43" s="123"/>
      <c r="E43" s="123"/>
      <c r="F43" s="123"/>
      <c r="G43" s="106"/>
      <c r="H43" s="138"/>
      <c r="I43" s="124"/>
      <c r="U43" s="14" t="s">
        <v>26</v>
      </c>
    </row>
    <row r="44" spans="1:1024" ht="20.100000000000001" customHeight="1" x14ac:dyDescent="0.25">
      <c r="J44" s="5"/>
      <c r="Y44" s="5"/>
      <c r="Z44" s="5"/>
    </row>
    <row r="45" spans="1:1024" ht="18" customHeight="1" x14ac:dyDescent="0.25">
      <c r="B45" s="86" t="s">
        <v>97</v>
      </c>
      <c r="I45" s="9"/>
      <c r="J45" s="5"/>
      <c r="O45" s="1"/>
      <c r="U45" s="1" t="s">
        <v>98</v>
      </c>
      <c r="AA45" s="5"/>
      <c r="AB45" s="141"/>
    </row>
    <row r="46" spans="1:1024" s="142" customFormat="1" ht="30" customHeight="1" x14ac:dyDescent="0.2">
      <c r="B46" s="178"/>
      <c r="C46" s="178"/>
      <c r="D46" s="178"/>
      <c r="E46" s="178"/>
      <c r="F46" s="178"/>
      <c r="G46" s="178"/>
      <c r="H46" s="178"/>
      <c r="I46" s="178"/>
      <c r="J46" s="143"/>
      <c r="Q46" s="144"/>
      <c r="R46" s="144"/>
      <c r="S46" s="145"/>
      <c r="U46" s="146" t="s">
        <v>44</v>
      </c>
      <c r="V46" s="147">
        <f>IF(S32&gt;10,2,1)</f>
        <v>1</v>
      </c>
      <c r="AA46" s="143"/>
      <c r="AB46" s="148"/>
    </row>
    <row r="47" spans="1:1024" s="142" customFormat="1" ht="30" customHeight="1" x14ac:dyDescent="0.2">
      <c r="B47" s="178"/>
      <c r="C47" s="178"/>
      <c r="D47" s="178"/>
      <c r="E47" s="178"/>
      <c r="F47" s="178"/>
      <c r="G47" s="178"/>
      <c r="H47" s="178"/>
      <c r="I47" s="178"/>
      <c r="Q47" s="143"/>
      <c r="S47" s="149"/>
      <c r="U47" s="146" t="s">
        <v>26</v>
      </c>
      <c r="V47" s="150">
        <v>0</v>
      </c>
      <c r="Z47" s="151"/>
      <c r="AB47" s="152"/>
    </row>
    <row r="48" spans="1:1024" s="142" customFormat="1" ht="30" customHeight="1" x14ac:dyDescent="0.2">
      <c r="B48" s="178"/>
      <c r="C48" s="178"/>
      <c r="D48" s="178"/>
      <c r="E48" s="178"/>
      <c r="F48" s="178"/>
      <c r="G48" s="178"/>
      <c r="H48" s="178"/>
      <c r="I48" s="178"/>
      <c r="Q48" s="143"/>
      <c r="S48" s="149"/>
      <c r="U48" s="153"/>
      <c r="Z48" s="151"/>
      <c r="AB48" s="152"/>
    </row>
    <row r="49" spans="2:28" s="142" customFormat="1" ht="30" customHeight="1" x14ac:dyDescent="0.2">
      <c r="B49" s="178"/>
      <c r="C49" s="178"/>
      <c r="D49" s="178"/>
      <c r="E49" s="178"/>
      <c r="F49" s="178"/>
      <c r="G49" s="178"/>
      <c r="H49" s="178"/>
      <c r="I49" s="178"/>
      <c r="Q49" s="143"/>
      <c r="S49" s="149"/>
      <c r="U49" s="153" t="s">
        <v>100</v>
      </c>
      <c r="AB49" s="152"/>
    </row>
    <row r="50" spans="2:28" s="142" customFormat="1" ht="30" customHeight="1" x14ac:dyDescent="0.2">
      <c r="B50" s="178"/>
      <c r="C50" s="178"/>
      <c r="D50" s="178"/>
      <c r="E50" s="178"/>
      <c r="F50" s="178"/>
      <c r="G50" s="178"/>
      <c r="H50" s="178"/>
      <c r="I50" s="178"/>
      <c r="Q50" s="143"/>
      <c r="S50" s="149"/>
      <c r="U50" s="159" t="s">
        <v>44</v>
      </c>
      <c r="V50" s="160">
        <v>1</v>
      </c>
      <c r="AB50" s="152"/>
    </row>
    <row r="51" spans="2:28" s="142" customFormat="1" ht="30" customHeight="1" x14ac:dyDescent="0.2">
      <c r="B51" s="178"/>
      <c r="C51" s="178"/>
      <c r="D51" s="178"/>
      <c r="E51" s="178"/>
      <c r="F51" s="178"/>
      <c r="G51" s="178"/>
      <c r="H51" s="178"/>
      <c r="I51" s="178"/>
      <c r="Q51" s="143"/>
      <c r="S51" s="154"/>
      <c r="T51" s="144"/>
      <c r="U51" s="159" t="s">
        <v>26</v>
      </c>
      <c r="V51" s="160">
        <v>0</v>
      </c>
      <c r="AB51" s="152"/>
    </row>
    <row r="52" spans="2:28" s="142" customFormat="1" ht="30" customHeight="1" x14ac:dyDescent="0.2">
      <c r="B52" s="178"/>
      <c r="C52" s="178"/>
      <c r="D52" s="178"/>
      <c r="E52" s="178"/>
      <c r="F52" s="178"/>
      <c r="G52" s="178"/>
      <c r="H52" s="178"/>
      <c r="I52" s="178"/>
      <c r="Q52" s="143"/>
      <c r="S52" s="154"/>
      <c r="T52" s="144"/>
      <c r="U52" s="161" t="s">
        <v>5</v>
      </c>
      <c r="V52" s="162"/>
      <c r="AB52" s="152"/>
    </row>
    <row r="53" spans="2:28" s="142" customFormat="1" ht="30" customHeight="1" x14ac:dyDescent="0.2">
      <c r="B53" s="178"/>
      <c r="C53" s="178"/>
      <c r="D53" s="178"/>
      <c r="E53" s="178"/>
      <c r="F53" s="178"/>
      <c r="G53" s="178"/>
      <c r="H53" s="178"/>
      <c r="I53" s="178"/>
      <c r="Q53" s="143"/>
      <c r="S53" s="154"/>
      <c r="T53" s="144"/>
      <c r="U53" s="153"/>
      <c r="AB53" s="152"/>
    </row>
    <row r="54" spans="2:28" s="142" customFormat="1" ht="30" customHeight="1" x14ac:dyDescent="0.2">
      <c r="B54" s="178"/>
      <c r="C54" s="178"/>
      <c r="D54" s="178"/>
      <c r="E54" s="178"/>
      <c r="F54" s="178"/>
      <c r="G54" s="178"/>
      <c r="H54" s="178"/>
      <c r="I54" s="178"/>
      <c r="Q54" s="143"/>
      <c r="S54" s="154"/>
      <c r="T54" s="144"/>
      <c r="U54" s="153"/>
      <c r="AB54" s="152"/>
    </row>
    <row r="55" spans="2:28" s="142" customFormat="1" ht="30" customHeight="1" x14ac:dyDescent="0.2">
      <c r="B55" s="178"/>
      <c r="C55" s="178"/>
      <c r="D55" s="178"/>
      <c r="E55" s="178"/>
      <c r="F55" s="178"/>
      <c r="G55" s="178"/>
      <c r="H55" s="178"/>
      <c r="I55" s="178"/>
      <c r="Q55" s="143"/>
      <c r="S55" s="154"/>
      <c r="T55" s="144"/>
      <c r="U55" s="153"/>
      <c r="AB55" s="152"/>
    </row>
    <row r="56" spans="2:28" s="142" customFormat="1" ht="30" customHeight="1" x14ac:dyDescent="0.2">
      <c r="B56" s="178"/>
      <c r="C56" s="178"/>
      <c r="D56" s="178"/>
      <c r="E56" s="178"/>
      <c r="F56" s="178"/>
      <c r="G56" s="178"/>
      <c r="H56" s="178"/>
      <c r="I56" s="178"/>
      <c r="Q56" s="143"/>
      <c r="S56" s="154"/>
      <c r="T56" s="144"/>
      <c r="U56" s="153"/>
      <c r="AB56" s="152"/>
    </row>
    <row r="57" spans="2:28" s="142" customFormat="1" ht="30" customHeight="1" x14ac:dyDescent="0.2">
      <c r="B57" s="179"/>
      <c r="C57" s="179"/>
      <c r="D57" s="179"/>
      <c r="E57" s="179"/>
      <c r="F57" s="179"/>
      <c r="G57" s="179"/>
      <c r="H57" s="179"/>
      <c r="I57" s="179"/>
      <c r="Q57" s="143"/>
      <c r="S57" s="154"/>
      <c r="T57" s="144"/>
      <c r="U57" s="153"/>
      <c r="AB57" s="152"/>
    </row>
  </sheetData>
  <sheetProtection algorithmName="SHA-512" hashValue="GUoSnKuehHYn0DZAcX/ZwEIFHZLG6Zn9Vwd3BWISC/eAstXzeD+srqa2Zw4nJ5rLAu5Sq+abQ78qZkyDHWJ0NA==" saltValue="Mtu257IXZi1osgc8cUTKxA==" spinCount="100000" sheet="1" objects="1" scenarios="1"/>
  <mergeCells count="23">
    <mergeCell ref="B55:I55"/>
    <mergeCell ref="B56:I56"/>
    <mergeCell ref="B57:I57"/>
    <mergeCell ref="B50:I50"/>
    <mergeCell ref="B51:I51"/>
    <mergeCell ref="B52:I52"/>
    <mergeCell ref="B53:I53"/>
    <mergeCell ref="B54:I54"/>
    <mergeCell ref="B22:I22"/>
    <mergeCell ref="B46:I46"/>
    <mergeCell ref="B47:I47"/>
    <mergeCell ref="B48:I48"/>
    <mergeCell ref="B49:I49"/>
    <mergeCell ref="H15:I15"/>
    <mergeCell ref="H16:I16"/>
    <mergeCell ref="D18:E18"/>
    <mergeCell ref="H18:I18"/>
    <mergeCell ref="B21:C21"/>
    <mergeCell ref="C2:F2"/>
    <mergeCell ref="H2:I2"/>
    <mergeCell ref="C3:F3"/>
    <mergeCell ref="B12:B13"/>
    <mergeCell ref="H14:I14"/>
  </mergeCells>
  <dataValidations count="4">
    <dataValidation type="list" allowBlank="1" showInputMessage="1" showErrorMessage="1" sqref="C7:C8" xr:uid="{00000000-0002-0000-0000-000000000000}">
      <formula1>$U$13:$U$14</formula1>
      <formula2>0</formula2>
    </dataValidation>
    <dataValidation type="list" allowBlank="1" showInputMessage="1" showErrorMessage="1" sqref="C5" xr:uid="{00000000-0002-0000-0000-000001000000}">
      <formula1>$K$4:$K$6</formula1>
      <formula2>0</formula2>
    </dataValidation>
    <dataValidation type="list" allowBlank="1" showInputMessage="1" showErrorMessage="1" sqref="C6" xr:uid="{00000000-0002-0000-0000-000002000000}">
      <formula1>$L$3:$M$3</formula1>
      <formula2>0</formula2>
    </dataValidation>
    <dataValidation type="list" allowBlank="1" showInputMessage="1" showErrorMessage="1" sqref="C9" xr:uid="{0D95D35A-1398-45B2-A140-5BC1C6105039}">
      <formula1>$U$50:$U$51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rstPageNumber="0" orientation="portrait" r:id="rId1"/>
  <headerFooter>
    <oddHeader>&amp;L&amp;G&amp;CProfile A/S&amp;RDin sikre leverandør af byggematerialer</oddHeader>
    <oddFooter>&amp;LTlf. 7363 1000&amp;Cwww.profile.dk&amp;Rinfo@profile.dk</oddFooter>
  </headerFooter>
  <rowBreaks count="1" manualBreakCount="1">
    <brk id="4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"/>
  <sheetViews>
    <sheetView zoomScaleNormal="100" workbookViewId="0">
      <selection activeCell="C5" sqref="C5"/>
    </sheetView>
  </sheetViews>
  <sheetFormatPr defaultRowHeight="12.75" x14ac:dyDescent="0.2"/>
  <cols>
    <col min="1" max="1" width="8.7109375" customWidth="1"/>
    <col min="2" max="2" width="13.140625" customWidth="1"/>
    <col min="3" max="1025" width="8.7109375" customWidth="1"/>
  </cols>
  <sheetData>
    <row r="2" spans="2:3" x14ac:dyDescent="0.2">
      <c r="B2" s="155"/>
    </row>
    <row r="4" spans="2:3" x14ac:dyDescent="0.2">
      <c r="B4" s="156" t="s">
        <v>99</v>
      </c>
      <c r="C4" s="157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TermoTag</vt:lpstr>
      <vt:lpstr>Data</vt:lpstr>
      <vt:lpstr>Ark1</vt:lpstr>
      <vt:lpstr>TermoTag!Udskriftsområde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Jerker Bruun</cp:lastModifiedBy>
  <cp:revision>1</cp:revision>
  <cp:lastPrinted>2021-04-13T07:19:31Z</cp:lastPrinted>
  <dcterms:created xsi:type="dcterms:W3CDTF">1996-11-12T13:28:11Z</dcterms:created>
  <dcterms:modified xsi:type="dcterms:W3CDTF">2022-08-25T09:42:25Z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